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EV-HP rate/06. Discovery/SBUA/DR 3/"/>
    </mc:Choice>
  </mc:AlternateContent>
  <xr:revisionPtr revIDLastSave="392" documentId="8_{BA17229C-F4E5-4C55-9531-709D3778CDC1}" xr6:coauthVersionLast="41" xr6:coauthVersionMax="45" xr10:uidLastSave="{0CED7AF3-E99F-4004-8BD8-B0CDFCB080A7}"/>
  <bookViews>
    <workbookView xWindow="28680" yWindow="-120" windowWidth="29040" windowHeight="15840" xr2:uid="{7DDB37F3-2960-42EC-92D2-3B81F160C2DB}"/>
  </bookViews>
  <sheets>
    <sheet name="Summary of Results" sheetId="49" r:id="rId1"/>
    <sheet name="Rate Summary TOU-M and EV-HP" sheetId="19" r:id="rId2"/>
    <sheet name="1 MD EV Depot (Large)" sheetId="57" r:id="rId3"/>
    <sheet name="2 MD EV Depot (Small)" sheetId="60" r:id="rId4"/>
    <sheet name="3 Transit Bus Depot" sheetId="61" r:id="rId5"/>
    <sheet name="4 School Bus Depot" sheetId="59" r:id="rId6"/>
    <sheet name="5 DC Fast Charger" sheetId="10" r:id="rId7"/>
    <sheet name="TOU Period Definitions" sheetId="48" r:id="rId8"/>
    <sheet name="Incumbent fuels" sheetId="62" r:id="rId9"/>
  </sheets>
  <definedNames>
    <definedName name="_xlnm.Print_Area" localSheetId="2">'1 MD EV Depot (Large)'!$B$1:$H$64,'1 MD EV Depot (Large)'!$B$71:$G$122,'1 MD EV Depot (Large)'!$J$1:$AH$66,'1 MD EV Depot (Large)'!$J$81:$N$122</definedName>
    <definedName name="_xlnm.Print_Area" localSheetId="3">'2 MD EV Depot (Small)'!$B$1:$H$64,'2 MD EV Depot (Small)'!$B$72:$G$124,'2 MD EV Depot (Small)'!$J$1:$AH$66,'2 MD EV Depot (Small)'!$J$81:$N$121</definedName>
    <definedName name="_xlnm.Print_Area" localSheetId="4">'3 Transit Bus Depot'!$B$1:$H$64,'3 Transit Bus Depot'!$B$72:$G$124,'3 Transit Bus Depot'!$J$1:$AH$66,'3 Transit Bus Depot'!$J$81:$N$121</definedName>
    <definedName name="_xlnm.Print_Area" localSheetId="5">'4 School Bus Depot'!$B$1:$H$64,'4 School Bus Depot'!$B$71:$G$123,'4 School Bus Depot'!$J$1:$AH$66,'4 School Bus Depot'!$J$81:$N$121</definedName>
    <definedName name="_xlnm.Print_Area" localSheetId="6">'5 DC Fast Charger'!$B$1:$H$64,'5 DC Fast Charger'!$B$66:$G$117,'5 DC Fast Charger'!$J$1:$AH$66,'5 DC Fast Charger'!$J$81:$N$120</definedName>
    <definedName name="_xlnm.Print_Area" localSheetId="1">'Rate Summary TOU-M and EV-HP'!$A$2:$J$26</definedName>
    <definedName name="_xlnm.Print_Area" localSheetId="0">'Summary of Results'!$A$3:$J$55</definedName>
    <definedName name="_xlnm.Print_Area" localSheetId="7">'TOU Period Definitions'!$A$1:$T$45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7" i="49" l="1"/>
  <c r="A40" i="49"/>
  <c r="E76" i="61"/>
  <c r="D76" i="61"/>
  <c r="D55" i="61"/>
  <c r="E49" i="61"/>
  <c r="D49" i="61"/>
  <c r="E75" i="59"/>
  <c r="D75" i="59"/>
  <c r="E48" i="59"/>
  <c r="D55" i="59"/>
  <c r="D48" i="59"/>
  <c r="E75" i="60"/>
  <c r="D75" i="60"/>
  <c r="E48" i="60"/>
  <c r="D55" i="60"/>
  <c r="D48" i="60"/>
  <c r="E75" i="57"/>
  <c r="D75" i="57"/>
  <c r="A23" i="49" l="1"/>
  <c r="A74" i="49"/>
  <c r="G33" i="57"/>
  <c r="P51" i="57" l="1"/>
  <c r="AA7" i="57" s="1"/>
  <c r="P52" i="57"/>
  <c r="AB7" i="57" s="1"/>
  <c r="P53" i="57"/>
  <c r="AC7" i="57" s="1"/>
  <c r="P54" i="57"/>
  <c r="AD7" i="57" s="1"/>
  <c r="P55" i="57"/>
  <c r="AE7" i="57" s="1"/>
  <c r="D10" i="57"/>
  <c r="P41" i="57"/>
  <c r="Q7" i="57" s="1"/>
  <c r="P42" i="57"/>
  <c r="R7" i="57" s="1"/>
  <c r="P43" i="57"/>
  <c r="S7" i="57"/>
  <c r="S19" i="57" s="1"/>
  <c r="P44" i="57"/>
  <c r="T7" i="57" s="1"/>
  <c r="P45" i="57"/>
  <c r="U7" i="57"/>
  <c r="U19" i="57" s="1"/>
  <c r="P46" i="57"/>
  <c r="V7" i="57" s="1"/>
  <c r="P47" i="57"/>
  <c r="W7" i="57" s="1"/>
  <c r="P48" i="57"/>
  <c r="X7" i="57" s="1"/>
  <c r="P49" i="57"/>
  <c r="Y7" i="57" s="1"/>
  <c r="P50" i="57"/>
  <c r="Z7" i="57" s="1"/>
  <c r="P56" i="57"/>
  <c r="AF7" i="57" s="1"/>
  <c r="P57" i="57"/>
  <c r="AG7" i="57" s="1"/>
  <c r="P58" i="57"/>
  <c r="AH7" i="57"/>
  <c r="P35" i="57"/>
  <c r="P36" i="57"/>
  <c r="L7" i="57" s="1"/>
  <c r="P37" i="57"/>
  <c r="M7" i="57" s="1"/>
  <c r="P38" i="57"/>
  <c r="N7" i="57"/>
  <c r="N20" i="57" s="1"/>
  <c r="P39" i="57"/>
  <c r="O7" i="57" s="1"/>
  <c r="P40" i="57"/>
  <c r="P7" i="57"/>
  <c r="Q20" i="57"/>
  <c r="R20" i="57"/>
  <c r="S20" i="57"/>
  <c r="T20" i="57"/>
  <c r="U20" i="57"/>
  <c r="V20" i="57"/>
  <c r="W20" i="57"/>
  <c r="X20" i="57"/>
  <c r="Q25" i="57"/>
  <c r="R25" i="57"/>
  <c r="S25" i="57"/>
  <c r="T25" i="57"/>
  <c r="U25" i="57"/>
  <c r="D15" i="57"/>
  <c r="F75" i="57" s="1"/>
  <c r="U29" i="57"/>
  <c r="N30" i="57"/>
  <c r="Q30" i="57"/>
  <c r="R30" i="57"/>
  <c r="S30" i="57"/>
  <c r="T30" i="57"/>
  <c r="U30" i="57"/>
  <c r="V30" i="57"/>
  <c r="W30" i="57"/>
  <c r="X30" i="57"/>
  <c r="P51" i="60"/>
  <c r="AA14" i="60" s="1"/>
  <c r="P52" i="60"/>
  <c r="AB7" i="60" s="1"/>
  <c r="P53" i="60"/>
  <c r="AC7" i="60" s="1"/>
  <c r="P54" i="60"/>
  <c r="AD14" i="60" s="1"/>
  <c r="P55" i="60"/>
  <c r="AE7" i="60" s="1"/>
  <c r="D10" i="60"/>
  <c r="P41" i="60"/>
  <c r="Q7" i="60" s="1"/>
  <c r="P42" i="60"/>
  <c r="R7" i="60"/>
  <c r="R19" i="60" s="1"/>
  <c r="P43" i="60"/>
  <c r="S7" i="60" s="1"/>
  <c r="P44" i="60"/>
  <c r="T7" i="60" s="1"/>
  <c r="P45" i="60"/>
  <c r="U7" i="60" s="1"/>
  <c r="P46" i="60"/>
  <c r="V7" i="60" s="1"/>
  <c r="P47" i="60"/>
  <c r="W7" i="60" s="1"/>
  <c r="W14" i="60"/>
  <c r="W20" i="60" s="1"/>
  <c r="P48" i="60"/>
  <c r="X14" i="60" s="1"/>
  <c r="P49" i="60"/>
  <c r="Y7" i="60" s="1"/>
  <c r="P50" i="60"/>
  <c r="Z7" i="60" s="1"/>
  <c r="P56" i="60"/>
  <c r="AF14" i="60" s="1"/>
  <c r="P57" i="60"/>
  <c r="AG14" i="60" s="1"/>
  <c r="P58" i="60"/>
  <c r="AH14" i="60" s="1"/>
  <c r="P35" i="60"/>
  <c r="K7" i="60" s="1"/>
  <c r="P36" i="60"/>
  <c r="L7" i="60" s="1"/>
  <c r="P37" i="60"/>
  <c r="M14" i="60" s="1"/>
  <c r="P38" i="60"/>
  <c r="N7" i="60"/>
  <c r="P39" i="60"/>
  <c r="O14" i="60" s="1"/>
  <c r="P40" i="60"/>
  <c r="P14" i="60" s="1"/>
  <c r="Q14" i="60"/>
  <c r="Q30" i="60" s="1"/>
  <c r="U14" i="60"/>
  <c r="U20" i="60" s="1"/>
  <c r="V14" i="60"/>
  <c r="V20" i="60" s="1"/>
  <c r="D15" i="60"/>
  <c r="U30" i="60"/>
  <c r="V30" i="60"/>
  <c r="D5" i="10"/>
  <c r="G29" i="10"/>
  <c r="D93" i="10"/>
  <c r="E83" i="49" s="1"/>
  <c r="D36" i="48"/>
  <c r="D6" i="61"/>
  <c r="F30" i="61"/>
  <c r="D15" i="61"/>
  <c r="D6" i="59"/>
  <c r="E30" i="59"/>
  <c r="D30" i="59"/>
  <c r="D6" i="60"/>
  <c r="D34" i="60" s="1"/>
  <c r="D56" i="60" s="1"/>
  <c r="E25" i="10"/>
  <c r="E72" i="10" s="1"/>
  <c r="F25" i="10"/>
  <c r="D20" i="61"/>
  <c r="P36" i="61"/>
  <c r="P37" i="61"/>
  <c r="P38" i="61"/>
  <c r="P39" i="61"/>
  <c r="P40" i="61"/>
  <c r="P41" i="61"/>
  <c r="Q7" i="61"/>
  <c r="P42" i="61"/>
  <c r="P43" i="61"/>
  <c r="P44" i="61"/>
  <c r="P45" i="61"/>
  <c r="P46" i="61"/>
  <c r="V7" i="61" s="1"/>
  <c r="P47" i="61"/>
  <c r="P48" i="61"/>
  <c r="X7" i="61" s="1"/>
  <c r="P49" i="61"/>
  <c r="Y7" i="61"/>
  <c r="P50" i="61"/>
  <c r="P51" i="61"/>
  <c r="P52" i="61"/>
  <c r="P53" i="61"/>
  <c r="P54" i="61"/>
  <c r="P55" i="61"/>
  <c r="P56" i="61"/>
  <c r="P57" i="61"/>
  <c r="P58" i="61"/>
  <c r="AH7" i="61" s="1"/>
  <c r="P35" i="61"/>
  <c r="G90" i="59"/>
  <c r="G91" i="59"/>
  <c r="G65" i="59"/>
  <c r="G64" i="59"/>
  <c r="Q36" i="59"/>
  <c r="Q37" i="59"/>
  <c r="Q38" i="59"/>
  <c r="Q39" i="59"/>
  <c r="Q40" i="59"/>
  <c r="Q41" i="59"/>
  <c r="Q42" i="59"/>
  <c r="Q43" i="59"/>
  <c r="Q44" i="59"/>
  <c r="Q45" i="59"/>
  <c r="U7" i="59" s="1"/>
  <c r="Q46" i="59"/>
  <c r="Q47" i="59"/>
  <c r="W7" i="59"/>
  <c r="Q48" i="59"/>
  <c r="Q49" i="59"/>
  <c r="Q50" i="59"/>
  <c r="Z7" i="59"/>
  <c r="Q51" i="59"/>
  <c r="AA7" i="59" s="1"/>
  <c r="Q52" i="59"/>
  <c r="AB7" i="59"/>
  <c r="Q53" i="59"/>
  <c r="Q54" i="59"/>
  <c r="Q55" i="59"/>
  <c r="Q56" i="59"/>
  <c r="Q57" i="59"/>
  <c r="Q58" i="59"/>
  <c r="Q35" i="59"/>
  <c r="D9" i="10"/>
  <c r="C3" i="62"/>
  <c r="D20" i="59" s="1"/>
  <c r="E102" i="61"/>
  <c r="F102" i="61"/>
  <c r="G102" i="61"/>
  <c r="D102" i="61"/>
  <c r="E103" i="57"/>
  <c r="F103" i="57"/>
  <c r="G103" i="57"/>
  <c r="D103" i="57"/>
  <c r="G84" i="10"/>
  <c r="G85" i="10"/>
  <c r="E102" i="59"/>
  <c r="D102" i="59"/>
  <c r="E102" i="57"/>
  <c r="L117" i="57"/>
  <c r="M117" i="57" s="1"/>
  <c r="E102" i="60"/>
  <c r="L117" i="60"/>
  <c r="E69" i="10"/>
  <c r="E96" i="10"/>
  <c r="D69" i="10"/>
  <c r="L117" i="10" s="1"/>
  <c r="X30" i="61"/>
  <c r="W30" i="61"/>
  <c r="V30" i="61"/>
  <c r="U30" i="61"/>
  <c r="T30" i="61"/>
  <c r="S30" i="61"/>
  <c r="R30" i="61"/>
  <c r="Q30" i="61"/>
  <c r="X30" i="59"/>
  <c r="W30" i="59"/>
  <c r="V30" i="59"/>
  <c r="U30" i="59"/>
  <c r="T30" i="59"/>
  <c r="S30" i="59"/>
  <c r="R30" i="59"/>
  <c r="Q30" i="59"/>
  <c r="T25" i="61"/>
  <c r="S25" i="61"/>
  <c r="R25" i="61"/>
  <c r="Q25" i="61"/>
  <c r="T25" i="59"/>
  <c r="S25" i="59"/>
  <c r="R25" i="59"/>
  <c r="Q25" i="59"/>
  <c r="X20" i="61"/>
  <c r="W20" i="61"/>
  <c r="V20" i="61"/>
  <c r="U20" i="61"/>
  <c r="T20" i="61"/>
  <c r="S20" i="61"/>
  <c r="R20" i="61"/>
  <c r="Q20" i="61"/>
  <c r="X20" i="59"/>
  <c r="W20" i="59"/>
  <c r="V20" i="59"/>
  <c r="U20" i="59"/>
  <c r="T20" i="59"/>
  <c r="S20" i="59"/>
  <c r="R20" i="59"/>
  <c r="Q20" i="59"/>
  <c r="G33" i="60"/>
  <c r="G91" i="57"/>
  <c r="G118" i="57"/>
  <c r="G90" i="57"/>
  <c r="G117" i="57"/>
  <c r="G64" i="57"/>
  <c r="G65" i="57"/>
  <c r="M118" i="61"/>
  <c r="M118" i="59"/>
  <c r="M118" i="60"/>
  <c r="F33" i="60"/>
  <c r="E33" i="60"/>
  <c r="E55" i="60"/>
  <c r="G33" i="59"/>
  <c r="F33" i="59"/>
  <c r="E33" i="59"/>
  <c r="F33" i="57"/>
  <c r="F55" i="57" s="1"/>
  <c r="E33" i="57"/>
  <c r="F118" i="61"/>
  <c r="E118" i="61"/>
  <c r="D118" i="61"/>
  <c r="F117" i="61"/>
  <c r="E117" i="61"/>
  <c r="D117" i="61"/>
  <c r="F110" i="61"/>
  <c r="E110" i="61"/>
  <c r="D110" i="61"/>
  <c r="F109" i="61"/>
  <c r="E109" i="61"/>
  <c r="D109" i="61"/>
  <c r="F108" i="61"/>
  <c r="E108" i="61"/>
  <c r="D108" i="61"/>
  <c r="E49" i="49"/>
  <c r="G91" i="61"/>
  <c r="G118" i="61"/>
  <c r="G90" i="61"/>
  <c r="G117" i="61"/>
  <c r="G110" i="61"/>
  <c r="G109" i="61"/>
  <c r="G108" i="61"/>
  <c r="G65" i="61"/>
  <c r="G64" i="61"/>
  <c r="O59" i="61"/>
  <c r="D10" i="61"/>
  <c r="F118" i="60"/>
  <c r="E118" i="60"/>
  <c r="D118" i="60"/>
  <c r="F117" i="60"/>
  <c r="E117" i="60"/>
  <c r="D117" i="60"/>
  <c r="F110" i="60"/>
  <c r="E110" i="60"/>
  <c r="D110" i="60"/>
  <c r="F109" i="60"/>
  <c r="E109" i="60"/>
  <c r="D109" i="60"/>
  <c r="F108" i="60"/>
  <c r="E108" i="60"/>
  <c r="D108" i="60"/>
  <c r="D99" i="60"/>
  <c r="E32" i="49" s="1"/>
  <c r="G91" i="60"/>
  <c r="G118" i="60" s="1"/>
  <c r="G90" i="60"/>
  <c r="G117" i="60" s="1"/>
  <c r="G110" i="60"/>
  <c r="G109" i="60"/>
  <c r="G108" i="60"/>
  <c r="G65" i="60"/>
  <c r="G64" i="60"/>
  <c r="O59" i="60"/>
  <c r="F118" i="59"/>
  <c r="E118" i="59"/>
  <c r="D118" i="59"/>
  <c r="F117" i="59"/>
  <c r="E117" i="59"/>
  <c r="D117" i="59"/>
  <c r="F110" i="59"/>
  <c r="E110" i="59"/>
  <c r="D110" i="59"/>
  <c r="F109" i="59"/>
  <c r="E109" i="59"/>
  <c r="D109" i="59"/>
  <c r="F108" i="59"/>
  <c r="E108" i="59"/>
  <c r="D108" i="59"/>
  <c r="D99" i="59"/>
  <c r="E66" i="49" s="1"/>
  <c r="D78" i="59"/>
  <c r="D105" i="59"/>
  <c r="G110" i="59"/>
  <c r="G109" i="59"/>
  <c r="G108" i="59"/>
  <c r="O59" i="59"/>
  <c r="P37" i="59" s="1"/>
  <c r="P35" i="59"/>
  <c r="D15" i="59"/>
  <c r="D10" i="59"/>
  <c r="P57" i="59"/>
  <c r="D35" i="61"/>
  <c r="F35" i="59"/>
  <c r="P46" i="59"/>
  <c r="P36" i="59"/>
  <c r="P48" i="59"/>
  <c r="P42" i="59"/>
  <c r="P55" i="59"/>
  <c r="P40" i="59"/>
  <c r="P53" i="59"/>
  <c r="P44" i="59"/>
  <c r="P52" i="59"/>
  <c r="P43" i="59"/>
  <c r="P51" i="59"/>
  <c r="P54" i="59"/>
  <c r="P58" i="59"/>
  <c r="P49" i="59"/>
  <c r="P56" i="59"/>
  <c r="F34" i="60"/>
  <c r="F56" i="60" s="1"/>
  <c r="L119" i="59"/>
  <c r="M119" i="59"/>
  <c r="E34" i="59"/>
  <c r="G35" i="59"/>
  <c r="F34" i="59"/>
  <c r="D35" i="59"/>
  <c r="G34" i="59"/>
  <c r="E35" i="59"/>
  <c r="D34" i="59"/>
  <c r="D56" i="59" s="1"/>
  <c r="O59" i="57"/>
  <c r="F118" i="57"/>
  <c r="E118" i="57"/>
  <c r="D118" i="57"/>
  <c r="F117" i="57"/>
  <c r="E117" i="57"/>
  <c r="D117" i="57"/>
  <c r="M118" i="57"/>
  <c r="F110" i="57"/>
  <c r="E110" i="57"/>
  <c r="D110" i="57"/>
  <c r="F109" i="57"/>
  <c r="E109" i="57"/>
  <c r="D109" i="57"/>
  <c r="F108" i="57"/>
  <c r="E108" i="57"/>
  <c r="D108" i="57"/>
  <c r="D99" i="57"/>
  <c r="E15" i="49"/>
  <c r="G110" i="57"/>
  <c r="G109" i="57"/>
  <c r="G108" i="57"/>
  <c r="D6" i="57"/>
  <c r="E30" i="57" s="1"/>
  <c r="E78" i="57" s="1"/>
  <c r="D12" i="10"/>
  <c r="D30" i="57"/>
  <c r="D78" i="57" s="1"/>
  <c r="E78" i="59"/>
  <c r="E105" i="59" s="1"/>
  <c r="L7" i="59"/>
  <c r="L30" i="59"/>
  <c r="AC7" i="59"/>
  <c r="AE7" i="59"/>
  <c r="AE23" i="59"/>
  <c r="AF7" i="59"/>
  <c r="R7" i="59"/>
  <c r="L7" i="61"/>
  <c r="L25" i="61"/>
  <c r="O7" i="59"/>
  <c r="Q7" i="59"/>
  <c r="Q19" i="59" s="1"/>
  <c r="N7" i="59"/>
  <c r="AH7" i="59"/>
  <c r="AH24" i="59" s="1"/>
  <c r="X7" i="59"/>
  <c r="X29" i="59" s="1"/>
  <c r="K7" i="59"/>
  <c r="AD7" i="59"/>
  <c r="AD28" i="59" s="1"/>
  <c r="Y7" i="59"/>
  <c r="Y24" i="59"/>
  <c r="V7" i="59"/>
  <c r="AG7" i="59"/>
  <c r="AG29" i="59" s="1"/>
  <c r="T7" i="59"/>
  <c r="S7" i="59"/>
  <c r="S19" i="59" s="1"/>
  <c r="P7" i="59"/>
  <c r="E35" i="57"/>
  <c r="D35" i="57"/>
  <c r="G34" i="57"/>
  <c r="G35" i="57"/>
  <c r="F34" i="57"/>
  <c r="F56" i="57"/>
  <c r="L30" i="61"/>
  <c r="L20" i="61"/>
  <c r="AG24" i="59"/>
  <c r="AG19" i="59"/>
  <c r="Z19" i="59"/>
  <c r="N20" i="59"/>
  <c r="N30" i="59"/>
  <c r="N25" i="59"/>
  <c r="AH19" i="59"/>
  <c r="AH29" i="59"/>
  <c r="AF24" i="59"/>
  <c r="P30" i="59"/>
  <c r="P25" i="59"/>
  <c r="P20" i="59"/>
  <c r="K25" i="59"/>
  <c r="AB23" i="59"/>
  <c r="O20" i="59"/>
  <c r="O30" i="59"/>
  <c r="O25" i="59"/>
  <c r="S29" i="59"/>
  <c r="S24" i="59"/>
  <c r="X25" i="59"/>
  <c r="Q24" i="59"/>
  <c r="AC28" i="59"/>
  <c r="U7" i="61"/>
  <c r="U19" i="61"/>
  <c r="S7" i="61"/>
  <c r="W7" i="61"/>
  <c r="W29" i="61" s="1"/>
  <c r="R7" i="61"/>
  <c r="R19" i="61"/>
  <c r="Z7" i="61"/>
  <c r="Z19" i="61" s="1"/>
  <c r="AE7" i="61"/>
  <c r="AE28" i="61" s="1"/>
  <c r="AA7" i="61"/>
  <c r="AA23" i="61" s="1"/>
  <c r="AB7" i="61"/>
  <c r="AB28" i="61" s="1"/>
  <c r="AF7" i="61"/>
  <c r="AF19" i="61" s="1"/>
  <c r="AG7" i="61"/>
  <c r="AG29" i="61" s="1"/>
  <c r="O7" i="61"/>
  <c r="N7" i="61"/>
  <c r="N20" i="61"/>
  <c r="M7" i="61"/>
  <c r="T7" i="61"/>
  <c r="AC7" i="61"/>
  <c r="AC18" i="61"/>
  <c r="AD7" i="61"/>
  <c r="P7" i="61"/>
  <c r="P30" i="61"/>
  <c r="P25" i="61"/>
  <c r="P20" i="61"/>
  <c r="Q29" i="61"/>
  <c r="U29" i="61"/>
  <c r="AE18" i="61"/>
  <c r="AE23" i="61"/>
  <c r="AF29" i="61"/>
  <c r="AF24" i="61"/>
  <c r="AC28" i="61"/>
  <c r="AC23" i="61"/>
  <c r="AB23" i="61"/>
  <c r="AA28" i="61"/>
  <c r="AA18" i="61"/>
  <c r="R29" i="61"/>
  <c r="R24" i="61"/>
  <c r="N30" i="61"/>
  <c r="N25" i="61"/>
  <c r="T24" i="61"/>
  <c r="W25" i="61"/>
  <c r="F112" i="10"/>
  <c r="F111" i="10"/>
  <c r="F104" i="10"/>
  <c r="F103" i="10"/>
  <c r="F102" i="10"/>
  <c r="E112" i="10"/>
  <c r="E111" i="10"/>
  <c r="E104" i="10"/>
  <c r="E103" i="10"/>
  <c r="E102" i="10"/>
  <c r="D112" i="10"/>
  <c r="D111" i="10"/>
  <c r="D104" i="10"/>
  <c r="D103" i="10"/>
  <c r="D102" i="10"/>
  <c r="M118" i="10"/>
  <c r="O59" i="10"/>
  <c r="G104" i="10"/>
  <c r="G103" i="10"/>
  <c r="G102" i="10"/>
  <c r="G60" i="10"/>
  <c r="G59" i="10"/>
  <c r="G111" i="10"/>
  <c r="G112" i="10"/>
  <c r="D38" i="48"/>
  <c r="D44" i="48" s="1"/>
  <c r="D37" i="48"/>
  <c r="D43" i="48"/>
  <c r="D33" i="48"/>
  <c r="E38" i="48"/>
  <c r="E37" i="48"/>
  <c r="E43" i="48"/>
  <c r="E36" i="48"/>
  <c r="E42" i="48" s="1"/>
  <c r="C38" i="48"/>
  <c r="C44" i="48"/>
  <c r="C37" i="48"/>
  <c r="C43" i="48" s="1"/>
  <c r="C36" i="48"/>
  <c r="E33" i="48"/>
  <c r="C33" i="48"/>
  <c r="D55" i="57"/>
  <c r="D6" i="10"/>
  <c r="P59" i="10"/>
  <c r="P40" i="10" s="1"/>
  <c r="E30" i="10"/>
  <c r="D50" i="10"/>
  <c r="F72" i="10"/>
  <c r="F99" i="10"/>
  <c r="E50" i="10"/>
  <c r="E48" i="57"/>
  <c r="D48" i="57"/>
  <c r="K117" i="59"/>
  <c r="F56" i="59"/>
  <c r="E56" i="59"/>
  <c r="E55" i="59"/>
  <c r="F55" i="59"/>
  <c r="F55" i="60"/>
  <c r="G55" i="60" s="1"/>
  <c r="F55" i="61"/>
  <c r="E55" i="57"/>
  <c r="E55" i="61"/>
  <c r="F50" i="10"/>
  <c r="K117" i="60"/>
  <c r="Z29" i="61"/>
  <c r="T29" i="59"/>
  <c r="T19" i="59"/>
  <c r="W30" i="60"/>
  <c r="S29" i="57"/>
  <c r="AH29" i="57"/>
  <c r="W25" i="59"/>
  <c r="W29" i="59"/>
  <c r="W19" i="59"/>
  <c r="P59" i="61"/>
  <c r="K20" i="59"/>
  <c r="K30" i="59"/>
  <c r="AB14" i="60"/>
  <c r="S24" i="57"/>
  <c r="AH24" i="57"/>
  <c r="S29" i="61"/>
  <c r="S24" i="61"/>
  <c r="S19" i="61"/>
  <c r="R19" i="59"/>
  <c r="V19" i="59"/>
  <c r="X19" i="59"/>
  <c r="Y19" i="59"/>
  <c r="AF19" i="59"/>
  <c r="Q19" i="61"/>
  <c r="Q24" i="61"/>
  <c r="N14" i="60"/>
  <c r="Z29" i="59"/>
  <c r="Z24" i="59"/>
  <c r="D30" i="61"/>
  <c r="D78" i="61" s="1"/>
  <c r="D34" i="61"/>
  <c r="D56" i="61" s="1"/>
  <c r="G34" i="61"/>
  <c r="E35" i="61"/>
  <c r="F35" i="61"/>
  <c r="E34" i="61"/>
  <c r="E56" i="61"/>
  <c r="G35" i="61"/>
  <c r="E30" i="61"/>
  <c r="E78" i="61" s="1"/>
  <c r="G30" i="61"/>
  <c r="N20" i="60"/>
  <c r="D39" i="48"/>
  <c r="P30" i="57"/>
  <c r="P20" i="57"/>
  <c r="P48" i="10"/>
  <c r="T29" i="61"/>
  <c r="T19" i="61"/>
  <c r="F34" i="61"/>
  <c r="F56" i="61"/>
  <c r="P41" i="59"/>
  <c r="F102" i="57"/>
  <c r="F48" i="57"/>
  <c r="P59" i="57"/>
  <c r="K7" i="57"/>
  <c r="W19" i="61"/>
  <c r="M25" i="61"/>
  <c r="M20" i="61"/>
  <c r="M30" i="61"/>
  <c r="Y29" i="59"/>
  <c r="P51" i="10"/>
  <c r="T24" i="59"/>
  <c r="R29" i="59"/>
  <c r="R24" i="59"/>
  <c r="T14" i="60"/>
  <c r="T20" i="60" s="1"/>
  <c r="AH19" i="57"/>
  <c r="V29" i="59"/>
  <c r="V25" i="59"/>
  <c r="P25" i="57"/>
  <c r="C39" i="48"/>
  <c r="C42" i="48"/>
  <c r="C45" i="48" s="1"/>
  <c r="E39" i="48"/>
  <c r="E44" i="48"/>
  <c r="O30" i="61"/>
  <c r="O25" i="61"/>
  <c r="O20" i="61"/>
  <c r="AF29" i="59"/>
  <c r="P35" i="10"/>
  <c r="K14" i="10" s="1"/>
  <c r="AD18" i="61"/>
  <c r="AD28" i="61"/>
  <c r="AD23" i="61"/>
  <c r="G55" i="61"/>
  <c r="M7" i="59"/>
  <c r="Q59" i="59"/>
  <c r="Y24" i="61"/>
  <c r="Y19" i="61"/>
  <c r="Y29" i="61"/>
  <c r="K117" i="57"/>
  <c r="D42" i="48"/>
  <c r="Z24" i="61"/>
  <c r="AC18" i="59"/>
  <c r="AC23" i="59"/>
  <c r="AB18" i="59"/>
  <c r="AB28" i="59"/>
  <c r="AE28" i="59"/>
  <c r="AG19" i="61"/>
  <c r="D29" i="10"/>
  <c r="D51" i="10" s="1"/>
  <c r="D30" i="10"/>
  <c r="AB18" i="61"/>
  <c r="K35" i="61"/>
  <c r="U25" i="61"/>
  <c r="D35" i="60"/>
  <c r="D20" i="60"/>
  <c r="Q25" i="60"/>
  <c r="K7" i="61"/>
  <c r="F69" i="10"/>
  <c r="F96" i="10"/>
  <c r="G34" i="60"/>
  <c r="G25" i="10"/>
  <c r="R14" i="60"/>
  <c r="N25" i="57"/>
  <c r="G30" i="60"/>
  <c r="Q20" i="60"/>
  <c r="D25" i="10"/>
  <c r="D72" i="10"/>
  <c r="F43" i="10"/>
  <c r="F29" i="10"/>
  <c r="F51" i="10" s="1"/>
  <c r="AE18" i="59"/>
  <c r="W29" i="60"/>
  <c r="G30" i="10"/>
  <c r="L20" i="59"/>
  <c r="AD18" i="59"/>
  <c r="G30" i="59"/>
  <c r="L25" i="59"/>
  <c r="AD23" i="59"/>
  <c r="E34" i="60"/>
  <c r="E56" i="60" s="1"/>
  <c r="F30" i="59"/>
  <c r="F78" i="59" s="1"/>
  <c r="E29" i="10"/>
  <c r="E51" i="10"/>
  <c r="F30" i="10"/>
  <c r="Q29" i="59"/>
  <c r="E34" i="57"/>
  <c r="E56" i="57" s="1"/>
  <c r="E35" i="60"/>
  <c r="K118" i="59"/>
  <c r="D102" i="60"/>
  <c r="D102" i="57"/>
  <c r="L117" i="59"/>
  <c r="M117" i="59" s="1"/>
  <c r="G56" i="59"/>
  <c r="G56" i="61"/>
  <c r="D103" i="61"/>
  <c r="D96" i="10"/>
  <c r="M117" i="10"/>
  <c r="G69" i="10"/>
  <c r="L117" i="61"/>
  <c r="K117" i="61"/>
  <c r="E103" i="61"/>
  <c r="G55" i="59"/>
  <c r="D43" i="10"/>
  <c r="K117" i="10" s="1"/>
  <c r="M117" i="60"/>
  <c r="E43" i="10"/>
  <c r="G43" i="10" s="1"/>
  <c r="K20" i="57"/>
  <c r="K25" i="57"/>
  <c r="K30" i="57"/>
  <c r="D60" i="61"/>
  <c r="D38" i="61"/>
  <c r="T30" i="60"/>
  <c r="R24" i="60"/>
  <c r="K30" i="61"/>
  <c r="K47" i="61"/>
  <c r="K25" i="61"/>
  <c r="K20" i="61"/>
  <c r="K37" i="61"/>
  <c r="G75" i="57"/>
  <c r="G48" i="57"/>
  <c r="M20" i="59"/>
  <c r="K37" i="59" s="1"/>
  <c r="D40" i="59" s="1"/>
  <c r="M30" i="59"/>
  <c r="K47" i="59"/>
  <c r="F62" i="59" s="1"/>
  <c r="M25" i="59"/>
  <c r="D99" i="10"/>
  <c r="L119" i="10"/>
  <c r="G96" i="10"/>
  <c r="M117" i="61"/>
  <c r="D62" i="59"/>
  <c r="F40" i="59"/>
  <c r="F88" i="59"/>
  <c r="F115" i="59" s="1"/>
  <c r="D62" i="61"/>
  <c r="D86" i="61"/>
  <c r="F40" i="61"/>
  <c r="F88" i="61"/>
  <c r="F115" i="61" s="1"/>
  <c r="M119" i="10"/>
  <c r="D40" i="61"/>
  <c r="F62" i="61"/>
  <c r="D88" i="59"/>
  <c r="D88" i="61"/>
  <c r="D113" i="61"/>
  <c r="D115" i="59"/>
  <c r="D115" i="61"/>
  <c r="E45" i="48" l="1"/>
  <c r="D45" i="48"/>
  <c r="K40" i="61"/>
  <c r="K41" i="59"/>
  <c r="G117" i="59"/>
  <c r="G118" i="59"/>
  <c r="F78" i="61"/>
  <c r="F105" i="61" s="1"/>
  <c r="G55" i="57"/>
  <c r="X25" i="61"/>
  <c r="X29" i="61"/>
  <c r="X19" i="61"/>
  <c r="E99" i="10"/>
  <c r="G72" i="10"/>
  <c r="G99" i="10" s="1"/>
  <c r="O20" i="57"/>
  <c r="O30" i="57"/>
  <c r="O25" i="57"/>
  <c r="L25" i="57"/>
  <c r="L30" i="57"/>
  <c r="L20" i="57"/>
  <c r="AG24" i="57"/>
  <c r="AG29" i="57"/>
  <c r="AG19" i="57"/>
  <c r="X19" i="57"/>
  <c r="X25" i="57"/>
  <c r="X29" i="57"/>
  <c r="R24" i="57"/>
  <c r="R19" i="57"/>
  <c r="R29" i="57"/>
  <c r="AD28" i="57"/>
  <c r="AD23" i="57"/>
  <c r="AD18" i="57"/>
  <c r="G51" i="10"/>
  <c r="K45" i="61"/>
  <c r="L119" i="57"/>
  <c r="M119" i="57" s="1"/>
  <c r="D105" i="57"/>
  <c r="AH29" i="61"/>
  <c r="AH19" i="61"/>
  <c r="AH24" i="61"/>
  <c r="AF29" i="57"/>
  <c r="AF24" i="57"/>
  <c r="AF19" i="57"/>
  <c r="W25" i="57"/>
  <c r="W19" i="57"/>
  <c r="W29" i="57"/>
  <c r="T29" i="57"/>
  <c r="T19" i="57"/>
  <c r="T24" i="57"/>
  <c r="Q19" i="57"/>
  <c r="Q29" i="57"/>
  <c r="Q24" i="57"/>
  <c r="AC23" i="57"/>
  <c r="AC18" i="57"/>
  <c r="AC28" i="57"/>
  <c r="E105" i="61"/>
  <c r="D105" i="61"/>
  <c r="G78" i="61"/>
  <c r="G105" i="61" s="1"/>
  <c r="L119" i="61"/>
  <c r="E38" i="61"/>
  <c r="E60" i="61"/>
  <c r="AA28" i="59"/>
  <c r="K45" i="59" s="1"/>
  <c r="AA18" i="59"/>
  <c r="K35" i="59" s="1"/>
  <c r="AA23" i="59"/>
  <c r="K40" i="59" s="1"/>
  <c r="U29" i="59"/>
  <c r="K46" i="59" s="1"/>
  <c r="U19" i="59"/>
  <c r="K36" i="59" s="1"/>
  <c r="U25" i="59"/>
  <c r="K42" i="59" s="1"/>
  <c r="V25" i="61"/>
  <c r="K42" i="61" s="1"/>
  <c r="V19" i="61"/>
  <c r="K36" i="61" s="1"/>
  <c r="V29" i="61"/>
  <c r="K46" i="61" s="1"/>
  <c r="U19" i="60"/>
  <c r="U25" i="60"/>
  <c r="Z19" i="57"/>
  <c r="Z24" i="57"/>
  <c r="Z29" i="57"/>
  <c r="V29" i="57"/>
  <c r="V25" i="57"/>
  <c r="V19" i="57"/>
  <c r="AB18" i="57"/>
  <c r="AB23" i="57"/>
  <c r="AB28" i="57"/>
  <c r="F105" i="59"/>
  <c r="G105" i="59" s="1"/>
  <c r="G78" i="59"/>
  <c r="E105" i="57"/>
  <c r="M30" i="57"/>
  <c r="M20" i="57"/>
  <c r="M25" i="57"/>
  <c r="Y29" i="57"/>
  <c r="Y24" i="57"/>
  <c r="Y19" i="57"/>
  <c r="AE18" i="57"/>
  <c r="AE28" i="57"/>
  <c r="AE23" i="57"/>
  <c r="AA28" i="57"/>
  <c r="K45" i="57" s="1"/>
  <c r="AA23" i="57"/>
  <c r="K40" i="57" s="1"/>
  <c r="AA18" i="57"/>
  <c r="K35" i="57" s="1"/>
  <c r="AG24" i="61"/>
  <c r="K41" i="61" s="1"/>
  <c r="D34" i="57"/>
  <c r="D56" i="57" s="1"/>
  <c r="F30" i="57"/>
  <c r="F78" i="57" s="1"/>
  <c r="F105" i="57" s="1"/>
  <c r="D30" i="60"/>
  <c r="D78" i="60" s="1"/>
  <c r="P7" i="60"/>
  <c r="P30" i="60" s="1"/>
  <c r="F35" i="57"/>
  <c r="P45" i="59"/>
  <c r="P47" i="59"/>
  <c r="P38" i="59"/>
  <c r="P50" i="59"/>
  <c r="P39" i="59"/>
  <c r="F48" i="59"/>
  <c r="F75" i="59"/>
  <c r="D20" i="57"/>
  <c r="S14" i="60"/>
  <c r="F76" i="61"/>
  <c r="F49" i="61"/>
  <c r="AF7" i="60"/>
  <c r="K118" i="61"/>
  <c r="G30" i="57"/>
  <c r="F48" i="60"/>
  <c r="G48" i="60" s="1"/>
  <c r="F75" i="60"/>
  <c r="G102" i="57"/>
  <c r="V25" i="60"/>
  <c r="V29" i="60"/>
  <c r="V19" i="60"/>
  <c r="Q29" i="60"/>
  <c r="Q24" i="60"/>
  <c r="S19" i="60"/>
  <c r="S24" i="60"/>
  <c r="AB28" i="60"/>
  <c r="AB18" i="60"/>
  <c r="AB23" i="60"/>
  <c r="P59" i="60"/>
  <c r="N30" i="60"/>
  <c r="AE14" i="60"/>
  <c r="AE23" i="60" s="1"/>
  <c r="T25" i="60"/>
  <c r="R29" i="60"/>
  <c r="AC14" i="60"/>
  <c r="AC23" i="60" s="1"/>
  <c r="X7" i="60"/>
  <c r="X19" i="60" s="1"/>
  <c r="O7" i="60"/>
  <c r="O20" i="60" s="1"/>
  <c r="AD7" i="60"/>
  <c r="AD23" i="60" s="1"/>
  <c r="X29" i="60"/>
  <c r="R30" i="60"/>
  <c r="R20" i="60"/>
  <c r="R25" i="60"/>
  <c r="T19" i="60"/>
  <c r="T29" i="60"/>
  <c r="T24" i="60"/>
  <c r="AF24" i="60"/>
  <c r="X20" i="60"/>
  <c r="X30" i="60"/>
  <c r="AD28" i="60"/>
  <c r="L119" i="60"/>
  <c r="M119" i="60" s="1"/>
  <c r="D105" i="60"/>
  <c r="AF29" i="60"/>
  <c r="AF19" i="60"/>
  <c r="G56" i="60"/>
  <c r="K118" i="60"/>
  <c r="P25" i="60"/>
  <c r="P20" i="60"/>
  <c r="W25" i="60"/>
  <c r="W19" i="60"/>
  <c r="AE18" i="60"/>
  <c r="S29" i="60"/>
  <c r="M7" i="60"/>
  <c r="G35" i="60"/>
  <c r="Q19" i="60"/>
  <c r="N25" i="60"/>
  <c r="U29" i="60"/>
  <c r="F35" i="60"/>
  <c r="F30" i="60"/>
  <c r="F78" i="60" s="1"/>
  <c r="O25" i="60"/>
  <c r="Y14" i="60"/>
  <c r="Y29" i="60" s="1"/>
  <c r="L14" i="60"/>
  <c r="L20" i="60" s="1"/>
  <c r="K14" i="60"/>
  <c r="K20" i="60" s="1"/>
  <c r="AH7" i="60"/>
  <c r="AG7" i="60"/>
  <c r="Z14" i="60"/>
  <c r="Z19" i="60" s="1"/>
  <c r="AA7" i="60"/>
  <c r="E30" i="60"/>
  <c r="E78" i="60" s="1"/>
  <c r="G78" i="60" s="1"/>
  <c r="AC28" i="60"/>
  <c r="G50" i="10"/>
  <c r="K118" i="10"/>
  <c r="P7" i="10"/>
  <c r="P14" i="10"/>
  <c r="P57" i="10"/>
  <c r="AG7" i="10" s="1"/>
  <c r="P42" i="10"/>
  <c r="R14" i="10" s="1"/>
  <c r="R30" i="10" s="1"/>
  <c r="P54" i="10"/>
  <c r="P49" i="10"/>
  <c r="P55" i="10"/>
  <c r="P43" i="10"/>
  <c r="P38" i="10"/>
  <c r="P56" i="10"/>
  <c r="AF7" i="10" s="1"/>
  <c r="P41" i="10"/>
  <c r="Q14" i="10" s="1"/>
  <c r="P52" i="10"/>
  <c r="P47" i="10"/>
  <c r="P53" i="10"/>
  <c r="P36" i="10"/>
  <c r="P58" i="10"/>
  <c r="P50" i="10"/>
  <c r="P37" i="10"/>
  <c r="P39" i="10"/>
  <c r="P45" i="10"/>
  <c r="P44" i="10"/>
  <c r="P46" i="10"/>
  <c r="AA14" i="10"/>
  <c r="AA7" i="10"/>
  <c r="X14" i="10"/>
  <c r="X7" i="10"/>
  <c r="AG14" i="10"/>
  <c r="K7" i="10"/>
  <c r="R7" i="10"/>
  <c r="R25" i="10"/>
  <c r="P59" i="59" l="1"/>
  <c r="K42" i="57"/>
  <c r="E39" i="59"/>
  <c r="E87" i="59" s="1"/>
  <c r="E114" i="59" s="1"/>
  <c r="E61" i="59"/>
  <c r="E40" i="57"/>
  <c r="E88" i="57" s="1"/>
  <c r="E115" i="57" s="1"/>
  <c r="E62" i="57"/>
  <c r="D39" i="59"/>
  <c r="D61" i="59"/>
  <c r="E62" i="59"/>
  <c r="G62" i="59" s="1"/>
  <c r="E40" i="59"/>
  <c r="Q7" i="10"/>
  <c r="AF14" i="10"/>
  <c r="P20" i="10"/>
  <c r="AE28" i="60"/>
  <c r="AD18" i="60"/>
  <c r="D38" i="59"/>
  <c r="K49" i="59"/>
  <c r="D60" i="59"/>
  <c r="M119" i="61"/>
  <c r="K46" i="57"/>
  <c r="G78" i="57"/>
  <c r="F60" i="61"/>
  <c r="G60" i="61" s="1"/>
  <c r="F38" i="61"/>
  <c r="F86" i="61" s="1"/>
  <c r="F113" i="61" s="1"/>
  <c r="K47" i="57"/>
  <c r="G49" i="61"/>
  <c r="G75" i="59"/>
  <c r="F102" i="59"/>
  <c r="D38" i="57"/>
  <c r="D60" i="57"/>
  <c r="F61" i="61"/>
  <c r="F39" i="61"/>
  <c r="F87" i="61" s="1"/>
  <c r="F114" i="61" s="1"/>
  <c r="F60" i="59"/>
  <c r="F38" i="59"/>
  <c r="F86" i="59" s="1"/>
  <c r="F113" i="59" s="1"/>
  <c r="K36" i="57"/>
  <c r="F93" i="61"/>
  <c r="F103" i="61"/>
  <c r="F120" i="61" s="1"/>
  <c r="G76" i="61"/>
  <c r="G49" i="59"/>
  <c r="G48" i="59"/>
  <c r="K118" i="57"/>
  <c r="G56" i="57"/>
  <c r="E38" i="57"/>
  <c r="E86" i="57" s="1"/>
  <c r="E60" i="57"/>
  <c r="D39" i="61"/>
  <c r="D61" i="61"/>
  <c r="K49" i="61"/>
  <c r="F39" i="59"/>
  <c r="F87" i="59" s="1"/>
  <c r="F114" i="59" s="1"/>
  <c r="F61" i="59"/>
  <c r="F67" i="59" s="1"/>
  <c r="F102" i="60"/>
  <c r="G102" i="60" s="1"/>
  <c r="G75" i="60"/>
  <c r="S30" i="60"/>
  <c r="S20" i="60"/>
  <c r="S25" i="60"/>
  <c r="E39" i="61"/>
  <c r="E87" i="61" s="1"/>
  <c r="E114" i="61" s="1"/>
  <c r="E61" i="61"/>
  <c r="F38" i="57"/>
  <c r="F86" i="57" s="1"/>
  <c r="F60" i="57"/>
  <c r="E62" i="61"/>
  <c r="G62" i="61" s="1"/>
  <c r="E40" i="61"/>
  <c r="E60" i="59"/>
  <c r="E67" i="59" s="1"/>
  <c r="E38" i="59"/>
  <c r="E86" i="59" s="1"/>
  <c r="E86" i="61"/>
  <c r="G38" i="61"/>
  <c r="K41" i="57"/>
  <c r="K37" i="57"/>
  <c r="Z29" i="60"/>
  <c r="Y24" i="60"/>
  <c r="X25" i="60"/>
  <c r="AC18" i="60"/>
  <c r="K30" i="60"/>
  <c r="Y19" i="60"/>
  <c r="O30" i="60"/>
  <c r="G105" i="60"/>
  <c r="AH24" i="60"/>
  <c r="AH29" i="60"/>
  <c r="AH19" i="60"/>
  <c r="L25" i="60"/>
  <c r="AG29" i="60"/>
  <c r="AG19" i="60"/>
  <c r="AG24" i="60"/>
  <c r="M30" i="60"/>
  <c r="M25" i="60"/>
  <c r="M20" i="60"/>
  <c r="K37" i="60" s="1"/>
  <c r="Z24" i="60"/>
  <c r="K41" i="60" s="1"/>
  <c r="K25" i="60"/>
  <c r="L30" i="60"/>
  <c r="K47" i="60" s="1"/>
  <c r="E105" i="60"/>
  <c r="AA28" i="60"/>
  <c r="K45" i="60" s="1"/>
  <c r="AA18" i="60"/>
  <c r="K35" i="60" s="1"/>
  <c r="AA23" i="60"/>
  <c r="K40" i="60" s="1"/>
  <c r="F105" i="60"/>
  <c r="K36" i="60"/>
  <c r="Z7" i="10"/>
  <c r="Z14" i="10"/>
  <c r="W14" i="10"/>
  <c r="W7" i="10"/>
  <c r="N7" i="10"/>
  <c r="N14" i="10"/>
  <c r="N20" i="10" s="1"/>
  <c r="P30" i="10"/>
  <c r="U7" i="10"/>
  <c r="U14" i="10"/>
  <c r="AH14" i="10"/>
  <c r="AH7" i="10"/>
  <c r="AB7" i="10"/>
  <c r="AB14" i="10"/>
  <c r="S14" i="10"/>
  <c r="S7" i="10"/>
  <c r="P25" i="10"/>
  <c r="R20" i="10"/>
  <c r="O7" i="10"/>
  <c r="O14" i="10"/>
  <c r="L14" i="10"/>
  <c r="L7" i="10"/>
  <c r="AE14" i="10"/>
  <c r="AE7" i="10"/>
  <c r="T14" i="10"/>
  <c r="T7" i="10"/>
  <c r="AD7" i="10"/>
  <c r="AD14" i="10"/>
  <c r="V14" i="10"/>
  <c r="V7" i="10"/>
  <c r="M7" i="10"/>
  <c r="M14" i="10"/>
  <c r="AC14" i="10"/>
  <c r="AC7" i="10"/>
  <c r="Y14" i="10"/>
  <c r="Y7" i="10"/>
  <c r="X20" i="10"/>
  <c r="X30" i="10"/>
  <c r="R19" i="10"/>
  <c r="R24" i="10"/>
  <c r="R29" i="10"/>
  <c r="Q19" i="10"/>
  <c r="Q24" i="10"/>
  <c r="Q29" i="10"/>
  <c r="AG24" i="10"/>
  <c r="AG29" i="10"/>
  <c r="AG19" i="10"/>
  <c r="AA23" i="10"/>
  <c r="AA18" i="10"/>
  <c r="AA28" i="10"/>
  <c r="X19" i="10"/>
  <c r="X25" i="10"/>
  <c r="X29" i="10"/>
  <c r="AF24" i="10"/>
  <c r="AF29" i="10"/>
  <c r="AF19" i="10"/>
  <c r="K30" i="10"/>
  <c r="K25" i="10"/>
  <c r="K20" i="10"/>
  <c r="Q25" i="10"/>
  <c r="Q30" i="10"/>
  <c r="Q20" i="10"/>
  <c r="K49" i="57" l="1"/>
  <c r="F67" i="61"/>
  <c r="F69" i="61" s="1"/>
  <c r="F69" i="59"/>
  <c r="F68" i="59"/>
  <c r="D12" i="57"/>
  <c r="D2" i="57" s="1"/>
  <c r="D7" i="57"/>
  <c r="K46" i="60"/>
  <c r="E39" i="57"/>
  <c r="E87" i="57" s="1"/>
  <c r="E114" i="57" s="1"/>
  <c r="E61" i="57"/>
  <c r="E68" i="59"/>
  <c r="E69" i="59"/>
  <c r="F113" i="57"/>
  <c r="G61" i="61"/>
  <c r="K120" i="61"/>
  <c r="K122" i="61" s="1"/>
  <c r="D67" i="61"/>
  <c r="F93" i="59"/>
  <c r="G105" i="57"/>
  <c r="K120" i="59"/>
  <c r="K122" i="59" s="1"/>
  <c r="G60" i="59"/>
  <c r="D67" i="59"/>
  <c r="G61" i="59"/>
  <c r="E88" i="61"/>
  <c r="G40" i="61"/>
  <c r="E67" i="61"/>
  <c r="D87" i="61"/>
  <c r="G39" i="61"/>
  <c r="G103" i="61"/>
  <c r="G60" i="57"/>
  <c r="G102" i="59"/>
  <c r="F120" i="59"/>
  <c r="F62" i="57"/>
  <c r="F40" i="57"/>
  <c r="F88" i="57" s="1"/>
  <c r="F115" i="57" s="1"/>
  <c r="F39" i="57"/>
  <c r="F87" i="57" s="1"/>
  <c r="F114" i="57" s="1"/>
  <c r="F61" i="57"/>
  <c r="D7" i="59"/>
  <c r="D12" i="59"/>
  <c r="D87" i="59"/>
  <c r="G39" i="59"/>
  <c r="E113" i="61"/>
  <c r="G86" i="61"/>
  <c r="G113" i="61" s="1"/>
  <c r="E93" i="61"/>
  <c r="E67" i="57"/>
  <c r="G50" i="49"/>
  <c r="F122" i="61"/>
  <c r="F121" i="61"/>
  <c r="G51" i="49" s="1"/>
  <c r="D39" i="57"/>
  <c r="D61" i="57"/>
  <c r="G61" i="57" s="1"/>
  <c r="D86" i="57"/>
  <c r="G38" i="57"/>
  <c r="D86" i="59"/>
  <c r="G38" i="59"/>
  <c r="G40" i="59"/>
  <c r="E88" i="59"/>
  <c r="D40" i="57"/>
  <c r="D62" i="57"/>
  <c r="E93" i="59"/>
  <c r="E113" i="59"/>
  <c r="D12" i="61"/>
  <c r="D7" i="61"/>
  <c r="E113" i="57"/>
  <c r="E120" i="57" s="1"/>
  <c r="E93" i="57"/>
  <c r="F94" i="61"/>
  <c r="G44" i="49" s="1"/>
  <c r="G43" i="49"/>
  <c r="F95" i="61"/>
  <c r="G67" i="61"/>
  <c r="E61" i="60"/>
  <c r="E39" i="60"/>
  <c r="E87" i="60" s="1"/>
  <c r="E114" i="60" s="1"/>
  <c r="D62" i="60"/>
  <c r="D40" i="60"/>
  <c r="F40" i="60"/>
  <c r="F88" i="60" s="1"/>
  <c r="F115" i="60" s="1"/>
  <c r="F62" i="60"/>
  <c r="F39" i="60"/>
  <c r="F87" i="60" s="1"/>
  <c r="F114" i="60" s="1"/>
  <c r="F61" i="60"/>
  <c r="D39" i="60"/>
  <c r="D61" i="60"/>
  <c r="D38" i="60"/>
  <c r="D60" i="60"/>
  <c r="F60" i="60"/>
  <c r="F38" i="60"/>
  <c r="F86" i="60" s="1"/>
  <c r="E38" i="60"/>
  <c r="E86" i="60" s="1"/>
  <c r="E60" i="60"/>
  <c r="K42" i="60"/>
  <c r="K49" i="60" s="1"/>
  <c r="M25" i="10"/>
  <c r="M20" i="10"/>
  <c r="M30" i="10"/>
  <c r="AD23" i="10"/>
  <c r="AD28" i="10"/>
  <c r="AD18" i="10"/>
  <c r="O30" i="10"/>
  <c r="O20" i="10"/>
  <c r="O25" i="10"/>
  <c r="S25" i="10"/>
  <c r="S20" i="10"/>
  <c r="S30" i="10"/>
  <c r="AC23" i="10"/>
  <c r="AC18" i="10"/>
  <c r="AC28" i="10"/>
  <c r="V29" i="10"/>
  <c r="V19" i="10"/>
  <c r="V25" i="10"/>
  <c r="T19" i="10"/>
  <c r="T29" i="10"/>
  <c r="T24" i="10"/>
  <c r="L30" i="10"/>
  <c r="L20" i="10"/>
  <c r="L25" i="10"/>
  <c r="U25" i="10"/>
  <c r="U30" i="10"/>
  <c r="U20" i="10"/>
  <c r="N30" i="10"/>
  <c r="N25" i="10"/>
  <c r="Z19" i="10"/>
  <c r="Z29" i="10"/>
  <c r="Z24" i="10"/>
  <c r="V30" i="10"/>
  <c r="V20" i="10"/>
  <c r="T30" i="10"/>
  <c r="T20" i="10"/>
  <c r="T25" i="10"/>
  <c r="AB23" i="10"/>
  <c r="AB28" i="10"/>
  <c r="AB18" i="10"/>
  <c r="U29" i="10"/>
  <c r="U19" i="10"/>
  <c r="W25" i="10"/>
  <c r="W19" i="10"/>
  <c r="W29" i="10"/>
  <c r="Y24" i="10"/>
  <c r="Y29" i="10"/>
  <c r="Y19" i="10"/>
  <c r="AE28" i="10"/>
  <c r="AE23" i="10"/>
  <c r="AE18" i="10"/>
  <c r="S19" i="10"/>
  <c r="S29" i="10"/>
  <c r="S24" i="10"/>
  <c r="AH19" i="10"/>
  <c r="AH24" i="10"/>
  <c r="AH29" i="10"/>
  <c r="W30" i="10"/>
  <c r="W20" i="10"/>
  <c r="K47" i="10"/>
  <c r="K35" i="10" l="1"/>
  <c r="F68" i="61"/>
  <c r="F67" i="57"/>
  <c r="F67" i="60"/>
  <c r="G62" i="57"/>
  <c r="G67" i="57" s="1"/>
  <c r="G68" i="57" s="1"/>
  <c r="G67" i="59"/>
  <c r="G68" i="59" s="1"/>
  <c r="K41" i="10"/>
  <c r="K37" i="10"/>
  <c r="D57" i="10" s="1"/>
  <c r="E94" i="59"/>
  <c r="F61" i="49" s="1"/>
  <c r="F60" i="49"/>
  <c r="E95" i="59"/>
  <c r="K46" i="10"/>
  <c r="K42" i="10"/>
  <c r="K36" i="10"/>
  <c r="K40" i="10"/>
  <c r="K52" i="61"/>
  <c r="D2" i="61"/>
  <c r="D3" i="61" s="1"/>
  <c r="D22" i="61" s="1"/>
  <c r="G86" i="57"/>
  <c r="D113" i="57"/>
  <c r="G52" i="49"/>
  <c r="F123" i="61"/>
  <c r="F43" i="49"/>
  <c r="E94" i="61"/>
  <c r="F44" i="49" s="1"/>
  <c r="E95" i="61"/>
  <c r="G87" i="59"/>
  <c r="D114" i="59"/>
  <c r="G114" i="59" s="1"/>
  <c r="D114" i="61"/>
  <c r="D120" i="61" s="1"/>
  <c r="L120" i="61"/>
  <c r="G87" i="61"/>
  <c r="G114" i="61" s="1"/>
  <c r="D93" i="61"/>
  <c r="D68" i="61"/>
  <c r="D69" i="61"/>
  <c r="F120" i="57"/>
  <c r="G69" i="61"/>
  <c r="G68" i="61"/>
  <c r="E69" i="61"/>
  <c r="E68" i="61"/>
  <c r="D68" i="59"/>
  <c r="D69" i="59"/>
  <c r="E97" i="59"/>
  <c r="F63" i="49" s="1"/>
  <c r="E70" i="59"/>
  <c r="D3" i="57"/>
  <c r="D22" i="57" s="1"/>
  <c r="K52" i="57"/>
  <c r="F9" i="49"/>
  <c r="E94" i="57"/>
  <c r="F10" i="49" s="1"/>
  <c r="E95" i="57"/>
  <c r="F68" i="57"/>
  <c r="F69" i="57"/>
  <c r="G40" i="57"/>
  <c r="D88" i="57"/>
  <c r="G86" i="59"/>
  <c r="D93" i="59"/>
  <c r="D113" i="59"/>
  <c r="L120" i="59"/>
  <c r="K52" i="59"/>
  <c r="D2" i="59"/>
  <c r="D3" i="59" s="1"/>
  <c r="D22" i="59" s="1"/>
  <c r="D67" i="57"/>
  <c r="K45" i="10"/>
  <c r="K49" i="10" s="1"/>
  <c r="F96" i="61"/>
  <c r="G45" i="49"/>
  <c r="E122" i="57"/>
  <c r="F16" i="49"/>
  <c r="E121" i="57"/>
  <c r="F17" i="49" s="1"/>
  <c r="E115" i="59"/>
  <c r="G115" i="59" s="1"/>
  <c r="G88" i="59"/>
  <c r="D87" i="57"/>
  <c r="L120" i="57" s="1"/>
  <c r="G39" i="57"/>
  <c r="K120" i="57"/>
  <c r="K122" i="57" s="1"/>
  <c r="G60" i="49"/>
  <c r="F94" i="59"/>
  <c r="G61" i="49" s="1"/>
  <c r="F95" i="59"/>
  <c r="E68" i="57"/>
  <c r="E69" i="57"/>
  <c r="F121" i="59"/>
  <c r="G68" i="49" s="1"/>
  <c r="G67" i="49"/>
  <c r="F122" i="59"/>
  <c r="E115" i="61"/>
  <c r="E120" i="61" s="1"/>
  <c r="G88" i="61"/>
  <c r="G115" i="61" s="1"/>
  <c r="F93" i="57"/>
  <c r="F70" i="61"/>
  <c r="F97" i="61"/>
  <c r="G46" i="49" s="1"/>
  <c r="F124" i="61"/>
  <c r="G53" i="49" s="1"/>
  <c r="F97" i="59"/>
  <c r="G63" i="49" s="1"/>
  <c r="F70" i="59"/>
  <c r="F124" i="59"/>
  <c r="G70" i="49" s="1"/>
  <c r="F113" i="60"/>
  <c r="F120" i="60" s="1"/>
  <c r="F93" i="60"/>
  <c r="D12" i="60"/>
  <c r="D2" i="60" s="1"/>
  <c r="D7" i="60"/>
  <c r="G39" i="60"/>
  <c r="D87" i="60"/>
  <c r="E113" i="60"/>
  <c r="F69" i="60"/>
  <c r="F68" i="60"/>
  <c r="G60" i="60"/>
  <c r="K120" i="60"/>
  <c r="K122" i="60" s="1"/>
  <c r="D67" i="60"/>
  <c r="D88" i="60"/>
  <c r="D86" i="60"/>
  <c r="G38" i="60"/>
  <c r="E62" i="60"/>
  <c r="E67" i="60" s="1"/>
  <c r="E40" i="60"/>
  <c r="E88" i="60" s="1"/>
  <c r="E115" i="60" s="1"/>
  <c r="G61" i="60"/>
  <c r="F56" i="10"/>
  <c r="F34" i="10"/>
  <c r="F81" i="10" s="1"/>
  <c r="F108" i="10" s="1"/>
  <c r="E33" i="10"/>
  <c r="E80" i="10" s="1"/>
  <c r="E55" i="10"/>
  <c r="D33" i="10"/>
  <c r="D55" i="10"/>
  <c r="F33" i="10"/>
  <c r="F80" i="10" s="1"/>
  <c r="F55" i="10"/>
  <c r="D35" i="10"/>
  <c r="G33" i="10"/>
  <c r="D80" i="10"/>
  <c r="D82" i="10"/>
  <c r="E34" i="10"/>
  <c r="E81" i="10" s="1"/>
  <c r="E108" i="10" s="1"/>
  <c r="E56" i="10"/>
  <c r="F35" i="10"/>
  <c r="F82" i="10" s="1"/>
  <c r="F109" i="10" s="1"/>
  <c r="F57" i="10"/>
  <c r="E57" i="10"/>
  <c r="E35" i="10"/>
  <c r="E82" i="10" s="1"/>
  <c r="E109" i="10" s="1"/>
  <c r="D56" i="10"/>
  <c r="D34" i="10"/>
  <c r="E107" i="10"/>
  <c r="F87" i="10" l="1"/>
  <c r="G77" i="49" s="1"/>
  <c r="E87" i="10"/>
  <c r="F77" i="49" s="1"/>
  <c r="G120" i="61"/>
  <c r="F62" i="10"/>
  <c r="G69" i="59"/>
  <c r="G70" i="59" s="1"/>
  <c r="G69" i="57"/>
  <c r="G70" i="57" s="1"/>
  <c r="E121" i="61"/>
  <c r="F51" i="49" s="1"/>
  <c r="E122" i="61"/>
  <c r="F50" i="49"/>
  <c r="M120" i="57"/>
  <c r="M122" i="57" s="1"/>
  <c r="L122" i="57"/>
  <c r="G122" i="61"/>
  <c r="G121" i="61"/>
  <c r="H51" i="49" s="1"/>
  <c r="H50" i="49"/>
  <c r="G56" i="10"/>
  <c r="F107" i="10"/>
  <c r="F114" i="10" s="1"/>
  <c r="G84" i="49" s="1"/>
  <c r="E123" i="57"/>
  <c r="F18" i="49"/>
  <c r="G93" i="61"/>
  <c r="L122" i="59"/>
  <c r="M120" i="59"/>
  <c r="M122" i="59" s="1"/>
  <c r="D115" i="57"/>
  <c r="G88" i="57"/>
  <c r="G115" i="57" s="1"/>
  <c r="E96" i="57"/>
  <c r="F11" i="49"/>
  <c r="E70" i="61"/>
  <c r="E97" i="61"/>
  <c r="F46" i="49" s="1"/>
  <c r="D70" i="61"/>
  <c r="M120" i="61"/>
  <c r="M122" i="61" s="1"/>
  <c r="L122" i="61"/>
  <c r="N121" i="61"/>
  <c r="N122" i="61" s="1"/>
  <c r="K53" i="61"/>
  <c r="D62" i="10"/>
  <c r="E70" i="57"/>
  <c r="E124" i="57"/>
  <c r="F19" i="49" s="1"/>
  <c r="E97" i="57"/>
  <c r="F12" i="49" s="1"/>
  <c r="G55" i="10"/>
  <c r="G69" i="49"/>
  <c r="F123" i="59"/>
  <c r="E120" i="59"/>
  <c r="D69" i="57"/>
  <c r="D68" i="57"/>
  <c r="D120" i="59"/>
  <c r="G113" i="59"/>
  <c r="G120" i="59" s="1"/>
  <c r="D70" i="59"/>
  <c r="D121" i="61"/>
  <c r="E51" i="49" s="1"/>
  <c r="D122" i="61"/>
  <c r="D124" i="61" s="1"/>
  <c r="E53" i="49" s="1"/>
  <c r="E50" i="49"/>
  <c r="F62" i="49"/>
  <c r="E96" i="59"/>
  <c r="E62" i="10"/>
  <c r="E63" i="10" s="1"/>
  <c r="F95" i="57"/>
  <c r="F94" i="57"/>
  <c r="G10" i="49" s="1"/>
  <c r="G9" i="49"/>
  <c r="F96" i="59"/>
  <c r="G62" i="49"/>
  <c r="D114" i="57"/>
  <c r="D120" i="57" s="1"/>
  <c r="G87" i="57"/>
  <c r="G114" i="57" s="1"/>
  <c r="E60" i="49"/>
  <c r="D95" i="59"/>
  <c r="D94" i="59"/>
  <c r="E61" i="49" s="1"/>
  <c r="F70" i="57"/>
  <c r="G70" i="61"/>
  <c r="G124" i="61"/>
  <c r="H53" i="49" s="1"/>
  <c r="E43" i="49"/>
  <c r="D94" i="61"/>
  <c r="E44" i="49" s="1"/>
  <c r="D95" i="61"/>
  <c r="F45" i="49"/>
  <c r="E96" i="61"/>
  <c r="G113" i="57"/>
  <c r="G120" i="57" s="1"/>
  <c r="G93" i="57"/>
  <c r="N121" i="59"/>
  <c r="N122" i="59" s="1"/>
  <c r="K53" i="59"/>
  <c r="G93" i="59"/>
  <c r="K53" i="57"/>
  <c r="N121" i="57"/>
  <c r="N122" i="57" s="1"/>
  <c r="G16" i="49"/>
  <c r="F122" i="57"/>
  <c r="F121" i="57"/>
  <c r="G17" i="49" s="1"/>
  <c r="D93" i="57"/>
  <c r="G40" i="60"/>
  <c r="E68" i="60"/>
  <c r="E69" i="60"/>
  <c r="E120" i="60"/>
  <c r="D3" i="60"/>
  <c r="D22" i="60" s="1"/>
  <c r="K52" i="60"/>
  <c r="G62" i="60"/>
  <c r="G67" i="60" s="1"/>
  <c r="D115" i="60"/>
  <c r="G88" i="60"/>
  <c r="G115" i="60" s="1"/>
  <c r="D114" i="60"/>
  <c r="G87" i="60"/>
  <c r="G114" i="60" s="1"/>
  <c r="F95" i="60"/>
  <c r="G26" i="49"/>
  <c r="F94" i="60"/>
  <c r="G27" i="49" s="1"/>
  <c r="D68" i="60"/>
  <c r="D69" i="60"/>
  <c r="F70" i="60"/>
  <c r="G33" i="49"/>
  <c r="F121" i="60"/>
  <c r="G34" i="49" s="1"/>
  <c r="F122" i="60"/>
  <c r="G86" i="60"/>
  <c r="D113" i="60"/>
  <c r="D120" i="60" s="1"/>
  <c r="L120" i="60"/>
  <c r="D93" i="60"/>
  <c r="E93" i="60"/>
  <c r="F64" i="10"/>
  <c r="G57" i="10"/>
  <c r="D107" i="10"/>
  <c r="G80" i="10"/>
  <c r="E114" i="10"/>
  <c r="F84" i="49" s="1"/>
  <c r="K120" i="10"/>
  <c r="K121" i="10" s="1"/>
  <c r="G35" i="10"/>
  <c r="D81" i="10"/>
  <c r="D87" i="10" s="1"/>
  <c r="E77" i="49" s="1"/>
  <c r="G34" i="10"/>
  <c r="G82" i="10"/>
  <c r="G109" i="10" s="1"/>
  <c r="D109" i="10"/>
  <c r="F116" i="10"/>
  <c r="G86" i="49" s="1"/>
  <c r="E64" i="10" l="1"/>
  <c r="D122" i="57"/>
  <c r="E16" i="49"/>
  <c r="D121" i="57"/>
  <c r="E17" i="49" s="1"/>
  <c r="G122" i="57"/>
  <c r="H16" i="49"/>
  <c r="G121" i="57"/>
  <c r="H17" i="49" s="1"/>
  <c r="G122" i="59"/>
  <c r="H67" i="49"/>
  <c r="G121" i="59"/>
  <c r="H68" i="49" s="1"/>
  <c r="E122" i="59"/>
  <c r="F67" i="49"/>
  <c r="E121" i="59"/>
  <c r="F68" i="49" s="1"/>
  <c r="G95" i="61"/>
  <c r="G94" i="61"/>
  <c r="H44" i="49" s="1"/>
  <c r="H43" i="49"/>
  <c r="G18" i="49"/>
  <c r="F123" i="57"/>
  <c r="H60" i="49"/>
  <c r="G94" i="59"/>
  <c r="H61" i="49" s="1"/>
  <c r="G95" i="59"/>
  <c r="E62" i="49"/>
  <c r="D96" i="59"/>
  <c r="F96" i="57"/>
  <c r="G11" i="49"/>
  <c r="D121" i="59"/>
  <c r="E68" i="49" s="1"/>
  <c r="E67" i="49"/>
  <c r="D122" i="59"/>
  <c r="F97" i="57"/>
  <c r="G12" i="49" s="1"/>
  <c r="G123" i="61"/>
  <c r="H52" i="49"/>
  <c r="E124" i="61"/>
  <c r="F53" i="49" s="1"/>
  <c r="E123" i="61"/>
  <c r="F52" i="49"/>
  <c r="E9" i="49"/>
  <c r="D95" i="57"/>
  <c r="D94" i="57"/>
  <c r="E10" i="49" s="1"/>
  <c r="G95" i="57"/>
  <c r="H9" i="49"/>
  <c r="G94" i="57"/>
  <c r="H10" i="49" s="1"/>
  <c r="D96" i="61"/>
  <c r="E45" i="49"/>
  <c r="F124" i="57"/>
  <c r="G19" i="49" s="1"/>
  <c r="E52" i="49"/>
  <c r="D123" i="61"/>
  <c r="D97" i="59"/>
  <c r="E63" i="49" s="1"/>
  <c r="D70" i="57"/>
  <c r="D124" i="57"/>
  <c r="E19" i="49" s="1"/>
  <c r="G62" i="10"/>
  <c r="G63" i="10" s="1"/>
  <c r="D97" i="61"/>
  <c r="E46" i="49" s="1"/>
  <c r="G69" i="60"/>
  <c r="G68" i="60"/>
  <c r="F123" i="60"/>
  <c r="G35" i="49"/>
  <c r="M120" i="60"/>
  <c r="M122" i="60" s="1"/>
  <c r="L122" i="60"/>
  <c r="D70" i="60"/>
  <c r="F97" i="60"/>
  <c r="G29" i="49" s="1"/>
  <c r="F96" i="60"/>
  <c r="G28" i="49"/>
  <c r="F33" i="49"/>
  <c r="E122" i="60"/>
  <c r="E121" i="60"/>
  <c r="F34" i="49" s="1"/>
  <c r="E33" i="49"/>
  <c r="D122" i="60"/>
  <c r="D124" i="60" s="1"/>
  <c r="E36" i="49" s="1"/>
  <c r="D121" i="60"/>
  <c r="E26" i="49"/>
  <c r="D94" i="60"/>
  <c r="D95" i="60"/>
  <c r="E94" i="60"/>
  <c r="F27" i="49" s="1"/>
  <c r="F26" i="49"/>
  <c r="E95" i="60"/>
  <c r="G113" i="60"/>
  <c r="G120" i="60" s="1"/>
  <c r="G93" i="60"/>
  <c r="F124" i="60"/>
  <c r="G36" i="49" s="1"/>
  <c r="K53" i="60"/>
  <c r="N121" i="60"/>
  <c r="N122" i="60" s="1"/>
  <c r="E124" i="60"/>
  <c r="F36" i="49" s="1"/>
  <c r="E70" i="60"/>
  <c r="E97" i="60"/>
  <c r="F29" i="49" s="1"/>
  <c r="F63" i="10"/>
  <c r="F115" i="10"/>
  <c r="G85" i="49" s="1"/>
  <c r="D108" i="10"/>
  <c r="D114" i="10" s="1"/>
  <c r="E84" i="49" s="1"/>
  <c r="G81" i="10"/>
  <c r="G108" i="10" s="1"/>
  <c r="E115" i="10"/>
  <c r="F85" i="49" s="1"/>
  <c r="E116" i="10"/>
  <c r="F86" i="49" s="1"/>
  <c r="G107" i="10"/>
  <c r="G114" i="10" s="1"/>
  <c r="H84" i="49" s="1"/>
  <c r="L120" i="10"/>
  <c r="L121" i="10" s="1"/>
  <c r="F89" i="10"/>
  <c r="G79" i="49" s="1"/>
  <c r="F88" i="10"/>
  <c r="G78" i="49" s="1"/>
  <c r="D64" i="10"/>
  <c r="D63" i="10"/>
  <c r="G64" i="10"/>
  <c r="E88" i="10"/>
  <c r="F78" i="49" s="1"/>
  <c r="E89" i="10"/>
  <c r="F79" i="49" s="1"/>
  <c r="M120" i="10"/>
  <c r="M121" i="10" s="1"/>
  <c r="F117" i="10"/>
  <c r="G87" i="49" s="1"/>
  <c r="H69" i="49" l="1"/>
  <c r="G123" i="59"/>
  <c r="G124" i="59"/>
  <c r="H70" i="49" s="1"/>
  <c r="G87" i="10"/>
  <c r="H11" i="49"/>
  <c r="G96" i="57"/>
  <c r="G97" i="57"/>
  <c r="H12" i="49" s="1"/>
  <c r="F69" i="49"/>
  <c r="E123" i="59"/>
  <c r="E124" i="59"/>
  <c r="F70" i="49" s="1"/>
  <c r="H62" i="49"/>
  <c r="G96" i="59"/>
  <c r="G97" i="59"/>
  <c r="H63" i="49" s="1"/>
  <c r="G96" i="61"/>
  <c r="H45" i="49"/>
  <c r="G97" i="61"/>
  <c r="H46" i="49" s="1"/>
  <c r="D97" i="57"/>
  <c r="E12" i="49" s="1"/>
  <c r="D96" i="57"/>
  <c r="E11" i="49"/>
  <c r="E69" i="49"/>
  <c r="D123" i="59"/>
  <c r="D124" i="59"/>
  <c r="E70" i="49" s="1"/>
  <c r="G123" i="57"/>
  <c r="H18" i="49"/>
  <c r="G124" i="57"/>
  <c r="H19" i="49" s="1"/>
  <c r="D123" i="57"/>
  <c r="E18" i="49"/>
  <c r="H26" i="49"/>
  <c r="G94" i="60"/>
  <c r="H27" i="49" s="1"/>
  <c r="G95" i="60"/>
  <c r="G97" i="60" s="1"/>
  <c r="H29" i="49" s="1"/>
  <c r="H33" i="49"/>
  <c r="G121" i="60"/>
  <c r="H34" i="49" s="1"/>
  <c r="G122" i="60"/>
  <c r="G124" i="60" s="1"/>
  <c r="H36" i="49" s="1"/>
  <c r="E28" i="49"/>
  <c r="D96" i="60"/>
  <c r="E96" i="60"/>
  <c r="F28" i="49"/>
  <c r="E27" i="49"/>
  <c r="E34" i="49"/>
  <c r="E123" i="60"/>
  <c r="F35" i="49"/>
  <c r="E35" i="49"/>
  <c r="D123" i="60"/>
  <c r="D97" i="60"/>
  <c r="E29" i="49" s="1"/>
  <c r="G70" i="60"/>
  <c r="F90" i="10"/>
  <c r="G80" i="49" s="1"/>
  <c r="E117" i="10"/>
  <c r="F87" i="49" s="1"/>
  <c r="G88" i="10"/>
  <c r="H78" i="49" s="1"/>
  <c r="D116" i="10"/>
  <c r="E86" i="49" s="1"/>
  <c r="D115" i="10"/>
  <c r="E85" i="49" s="1"/>
  <c r="G116" i="10"/>
  <c r="H86" i="49" s="1"/>
  <c r="G115" i="10"/>
  <c r="H85" i="49" s="1"/>
  <c r="D88" i="10"/>
  <c r="E78" i="49" s="1"/>
  <c r="D89" i="10"/>
  <c r="E79" i="49" s="1"/>
  <c r="E90" i="10"/>
  <c r="F80" i="49" s="1"/>
  <c r="G89" i="10" l="1"/>
  <c r="H77" i="49"/>
  <c r="G123" i="60"/>
  <c r="H35" i="49"/>
  <c r="H28" i="49"/>
  <c r="G96" i="60"/>
  <c r="D117" i="10"/>
  <c r="E87" i="49" s="1"/>
  <c r="G117" i="10"/>
  <c r="H87" i="49" s="1"/>
  <c r="D90" i="10"/>
  <c r="E80" i="49" s="1"/>
  <c r="H79" i="49" l="1"/>
  <c r="G90" i="10"/>
  <c r="H80" i="49" s="1"/>
</calcChain>
</file>

<file path=xl/sharedStrings.xml><?xml version="1.0" encoding="utf-8"?>
<sst xmlns="http://schemas.openxmlformats.org/spreadsheetml/2006/main" count="2537" uniqueCount="182">
  <si>
    <t>Worksheet Link</t>
  </si>
  <si>
    <t>MD EV Depot (Large)</t>
  </si>
  <si>
    <t>Billed Amounts: EV-HP with CPP-D</t>
  </si>
  <si>
    <t>Summer</t>
  </si>
  <si>
    <t>Winter (March and April)</t>
  </si>
  <si>
    <t>Winter (excl March and April)</t>
  </si>
  <si>
    <t>Annual</t>
  </si>
  <si>
    <t>Total</t>
  </si>
  <si>
    <t>Average Bill Amount  EV-HP CPP-D</t>
  </si>
  <si>
    <t>Avg Rate $/kWh (excluding Taxes/Surcharges)</t>
  </si>
  <si>
    <t>Percent Savings under EV-HP Rates vs Schedule TOU-M (CPPD)</t>
  </si>
  <si>
    <t>Subscription Charge Discount</t>
  </si>
  <si>
    <t>MD EV Depot (Small)</t>
  </si>
  <si>
    <t>Transit Bus Depot</t>
  </si>
  <si>
    <t>School Bus Depot</t>
  </si>
  <si>
    <t>DC Fast Charger</t>
  </si>
  <si>
    <t>SDGE Current Rates - Schedule TOU-M (CPP-D) Effective 6/1/19</t>
  </si>
  <si>
    <t>SDGE Proposed EV-HP Rates (with CPP-D)</t>
  </si>
  <si>
    <t>(Secondary)</t>
  </si>
  <si>
    <t>Rate Component:</t>
  </si>
  <si>
    <t>Units</t>
  </si>
  <si>
    <t>Rates</t>
  </si>
  <si>
    <t>Rate</t>
  </si>
  <si>
    <t>Basic Service Fee</t>
  </si>
  <si>
    <t>Basic Service Fee (≤ 500 kW)</t>
  </si>
  <si>
    <t>$ per Month</t>
  </si>
  <si>
    <t xml:space="preserve">     &lt; or equal to 500 kW</t>
  </si>
  <si>
    <t>Basic Service Fee (&gt; 500 kW)</t>
  </si>
  <si>
    <t xml:space="preserve">     &gt; 500 kW</t>
  </si>
  <si>
    <t>$ per Month (N/A in published tariff)</t>
  </si>
  <si>
    <t>Subscription (0-25 kW)</t>
  </si>
  <si>
    <t>$ per 1st Increment per Month</t>
  </si>
  <si>
    <t>Demand Charges</t>
  </si>
  <si>
    <t>Subscription (25 kW+)</t>
  </si>
  <si>
    <t>$ per Additional Increment per Month</t>
  </si>
  <si>
    <t>Summer On-Peak</t>
  </si>
  <si>
    <t>$/kW per Month</t>
  </si>
  <si>
    <t>Winter On-Peak</t>
  </si>
  <si>
    <t>Capacity Reservation Charge ($/kW per Month)</t>
  </si>
  <si>
    <t>Non-Coincident</t>
  </si>
  <si>
    <t>CPP Event Period Adder ($/kWh)</t>
  </si>
  <si>
    <t>$/kWh</t>
  </si>
  <si>
    <t>Capacity Reservation Charge</t>
  </si>
  <si>
    <t>Summer Energy Rates ($/kWh)</t>
  </si>
  <si>
    <t>CPP Event Period Adder</t>
  </si>
  <si>
    <t>On-Peak</t>
  </si>
  <si>
    <t>Off-Peak</t>
  </si>
  <si>
    <t>Summer Energy Rates</t>
  </si>
  <si>
    <t>Super-Off Peak</t>
  </si>
  <si>
    <t>Winter Energy Rates ($/kWh)</t>
  </si>
  <si>
    <t xml:space="preserve">Winter Energy Rates </t>
  </si>
  <si>
    <t>Seasons (Same for TOU-M &amp; EV-HP)</t>
  </si>
  <si>
    <t>Months</t>
  </si>
  <si>
    <t>Site Factors:</t>
  </si>
  <si>
    <t>Load curve source: SDG&amp;E assumption</t>
  </si>
  <si>
    <t>Miles driven per vehicle per day</t>
  </si>
  <si>
    <t>Weekdays  - Hour beginning</t>
  </si>
  <si>
    <t>Hours/Day Utilized</t>
  </si>
  <si>
    <t>Super Off-Peak</t>
  </si>
  <si>
    <t>Total Number of Chargers</t>
  </si>
  <si>
    <t>kW/Charger</t>
  </si>
  <si>
    <t>Winter (excluding March and April)</t>
  </si>
  <si>
    <t>Connected kW per site</t>
  </si>
  <si>
    <t>Monthly load factor</t>
  </si>
  <si>
    <t>kWh per Hour (weekday)</t>
  </si>
  <si>
    <t>Charging Days per Week</t>
  </si>
  <si>
    <t>Days per Month</t>
  </si>
  <si>
    <t>Weekends  - Hour beginning</t>
  </si>
  <si>
    <t>Weeks per Month</t>
  </si>
  <si>
    <t>EV efficiency (kWh per mile)</t>
  </si>
  <si>
    <t>Miles driven per month</t>
  </si>
  <si>
    <t>Summer Months</t>
  </si>
  <si>
    <t>Winter Months March and April</t>
  </si>
  <si>
    <t>Winter Months Excluding March and April</t>
  </si>
  <si>
    <t>Subscription Charge Discount Scenario</t>
  </si>
  <si>
    <t>Weekly kWh throughput</t>
  </si>
  <si>
    <t>CPP days per year (all in summer)</t>
  </si>
  <si>
    <t>Not modeled for CPP events</t>
  </si>
  <si>
    <t>Charging on CPP Event days?</t>
  </si>
  <si>
    <t>No</t>
  </si>
  <si>
    <t xml:space="preserve">      On-Peak</t>
  </si>
  <si>
    <t>CRC Election (kW)</t>
  </si>
  <si>
    <t xml:space="preserve">      Off-Peak</t>
  </si>
  <si>
    <t>Diesel price ($/gallon)</t>
  </si>
  <si>
    <t xml:space="preserve">      Super Off-Peak</t>
  </si>
  <si>
    <t>ICEV efficiency (miles per gallon)</t>
  </si>
  <si>
    <t>Check (1= good, 0=error):</t>
  </si>
  <si>
    <t>Scenario Assumptions</t>
  </si>
  <si>
    <t>Component</t>
  </si>
  <si>
    <t>Basic Service Fee (&lt;= 500 kW)</t>
  </si>
  <si>
    <t>per Month</t>
  </si>
  <si>
    <t>Yes</t>
  </si>
  <si>
    <t>NA</t>
  </si>
  <si>
    <t>Subscription Charge per Month</t>
  </si>
  <si>
    <t>1st 25 kW Increment</t>
  </si>
  <si>
    <t>Additional 25 kW Increments</t>
  </si>
  <si>
    <t>Demands:</t>
  </si>
  <si>
    <t>kW</t>
  </si>
  <si>
    <t>Usage by Season</t>
  </si>
  <si>
    <t>Usage</t>
  </si>
  <si>
    <t>Adjusted Daily</t>
  </si>
  <si>
    <t xml:space="preserve">      Non-Coincident</t>
  </si>
  <si>
    <t>Hour</t>
  </si>
  <si>
    <t xml:space="preserve">Input Assumption </t>
  </si>
  <si>
    <t>Load Profile (kWh)</t>
  </si>
  <si>
    <t xml:space="preserve">      Max Demand</t>
  </si>
  <si>
    <t>kWh</t>
  </si>
  <si>
    <t>Energy per Season:</t>
  </si>
  <si>
    <t xml:space="preserve">Capacity Reservation Charge </t>
  </si>
  <si>
    <t>kW per Month</t>
  </si>
  <si>
    <t>Billed Amounts: TOU-M with CPP-D</t>
  </si>
  <si>
    <t>$ per Season</t>
  </si>
  <si>
    <t>Annual Sum</t>
  </si>
  <si>
    <t>Incumbent fuel cost</t>
  </si>
  <si>
    <t>Subscription Charge</t>
  </si>
  <si>
    <t>Fuel cost per month</t>
  </si>
  <si>
    <t>$</t>
  </si>
  <si>
    <t>Fuel cost per mile</t>
  </si>
  <si>
    <t>Demand Charges per Season:</t>
  </si>
  <si>
    <t>Energy Charges per Season:</t>
  </si>
  <si>
    <t>Notes:</t>
  </si>
  <si>
    <r>
      <t xml:space="preserve">1) </t>
    </r>
    <r>
      <rPr>
        <strike/>
        <sz val="11"/>
        <color theme="1"/>
        <rFont val="Calibri"/>
        <family val="2"/>
        <scheme val="minor"/>
      </rPr>
      <t>This analysis assumes the customer would take service on AL-TOU (CPP-D) under existing rates.</t>
    </r>
  </si>
  <si>
    <t>2) Hourly load profile is based on SDG&amp;E's data/assumptions.</t>
  </si>
  <si>
    <t>3) Bill calculations exclude line-item freanchise fees, taxes and surcharges.</t>
  </si>
  <si>
    <t>3) Bill calculations assume Secondary Service Voltage.</t>
  </si>
  <si>
    <t>4) Vehicle efficiency data from NREL, "Field Evaluation of Medium-Duty Plug-in Electric Delivery Trucks" (2016)</t>
  </si>
  <si>
    <t>5) Diesel price data from US Energy Information Administration</t>
  </si>
  <si>
    <t>Average Bill Amount  TOU-M CPP-D</t>
  </si>
  <si>
    <t>6) Federal Highway Administration. Highway Statistics 2016, Table VM-1. Single Unit Trucks, annual miles traveled: 12,958. Accessed 11/20/18 at http://www.fhwa.dot.gov/policyinformation/statistics/2016/</t>
  </si>
  <si>
    <t>Cost per mile</t>
  </si>
  <si>
    <t>Subscription Charges (&lt;=500 kW)</t>
  </si>
  <si>
    <t>Percent Savings under EV-HP Rates</t>
  </si>
  <si>
    <t>Subscription Charges</t>
  </si>
  <si>
    <t>Graph Data Summary - Summer</t>
  </si>
  <si>
    <t>TOU-M</t>
  </si>
  <si>
    <t>EV-HP</t>
  </si>
  <si>
    <t>EV-HP w/50% Discount to Subscription Charge</t>
  </si>
  <si>
    <t>Diesel</t>
  </si>
  <si>
    <t>Energy Charges</t>
  </si>
  <si>
    <t>1) This analysis assumes the customer would take service on AL-TOU (CPP-D) under existing rates.</t>
  </si>
  <si>
    <t>6) CARB Staff estimates that the primary types of small business operating fleets are hotel and off-airport parking shuttles. https://www.arb.ca.gov/regact/2019/asb/isor.pdf</t>
  </si>
  <si>
    <t>7) Operating days for shuttles expected to be 7 days a week</t>
  </si>
  <si>
    <t>8) Annual VMT assumed to be similar to scenario 1 due to similar class vehicle</t>
  </si>
  <si>
    <t>CNG price ($/dge)</t>
  </si>
  <si>
    <t>ICEV efficiency (miles/dge)</t>
  </si>
  <si>
    <t>4) Vehicle efficiency data from NREL, "Foothill Transit Battery Electric Bus Demonstration Results: Second Report" (2017)</t>
  </si>
  <si>
    <t>5) CNG price from San Diego Metropolitan Transit System 2019 Annual Budget</t>
  </si>
  <si>
    <t>6) Average annual miles traveled of Transit Bus: 34,053. Accessed 5/30/2019. https://afdc.energy.gov/data/10309</t>
  </si>
  <si>
    <t>Subscription Charges (&gt; 500 kW)</t>
  </si>
  <si>
    <t>CNG</t>
  </si>
  <si>
    <t>Utilization Factors by Hour</t>
  </si>
  <si>
    <t>% kWh</t>
  </si>
  <si>
    <t>4) Vehicle efficiency data from industry sources</t>
  </si>
  <si>
    <t>6) Average annual miles traveled of School Bus: 12,000. Accessed 5/30/2019. https://afdc.energy.gov/data/10309</t>
  </si>
  <si>
    <t>Load curve source: aggregated DCFCs in SDG&amp;E territory</t>
  </si>
  <si>
    <t>Load Factor</t>
  </si>
  <si>
    <t xml:space="preserve">Subscription Charge per Month </t>
  </si>
  <si>
    <t>Hour Beginning</t>
  </si>
  <si>
    <t>2) Hourly load profile for DCFC is based on SDG&amp;E's data/assumptions.</t>
  </si>
  <si>
    <t xml:space="preserve"> </t>
  </si>
  <si>
    <t>Schedule TOU-M  TOU Periods</t>
  </si>
  <si>
    <t>TOU Periods</t>
  </si>
  <si>
    <t>Summer (Jun thru Oct)</t>
  </si>
  <si>
    <t>Winter - March/April</t>
  </si>
  <si>
    <t>Winter (Nov thru May)</t>
  </si>
  <si>
    <t>TOU Period</t>
  </si>
  <si>
    <t>per Day</t>
  </si>
  <si>
    <t>Hours</t>
  </si>
  <si>
    <t>per Month (average)</t>
  </si>
  <si>
    <t>per Season (average)</t>
  </si>
  <si>
    <t>Fuel</t>
  </si>
  <si>
    <t>Price</t>
  </si>
  <si>
    <t>Source</t>
  </si>
  <si>
    <t>Diesel (retail)</t>
  </si>
  <si>
    <t>$/gallon</t>
  </si>
  <si>
    <t>EIA Weekly Retail Gasoline and Diesel Prices</t>
  </si>
  <si>
    <t>$/therm</t>
  </si>
  <si>
    <t>San Diego Metropolitan Transit System 2019 budget</t>
  </si>
  <si>
    <t>$/dge</t>
  </si>
  <si>
    <t>California No 2 Diesel Retail Prices (Dollars per Gallon)</t>
  </si>
  <si>
    <t>Data source: EIA Weekly Retail Gasoline and Diesel Prices, accessed 5/8/2019</t>
  </si>
  <si>
    <t>SBUA-SDG&amp;E-DR-03-02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</si>
</sst>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&quot;$&quot;#,##0.00"/>
    <numFmt numFmtId="168" formatCode="&quot;$&quot;#,##0.00000"/>
    <numFmt numFmtId="169" formatCode="General_)"/>
    <numFmt numFmtId="170" formatCode="0.0%"/>
    <numFmt numFmtId="171" formatCode="&quot;$&quot;#,##0;[Red]&quot;$&quot;#,##0"/>
    <numFmt numFmtId="172" formatCode="_(* #,##0.0_);_(* \(#,##0.0\);_(* &quot;-&quot;?_);_(@_)"/>
    <numFmt numFmtId="173" formatCode="&quot;$&quot;#,##0"/>
    <numFmt numFmtId="174" formatCode="mmm\-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9" fontId="7" fillId="0" borderId="0"/>
    <xf numFmtId="169" fontId="7" fillId="0" borderId="0"/>
    <xf numFmtId="0" fontId="1" fillId="0" borderId="0"/>
  </cellStyleXfs>
  <cellXfs count="41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168" fontId="0" fillId="0" borderId="0" xfId="0" applyNumberFormat="1" applyFont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0" fillId="5" borderId="0" xfId="2" applyNumberFormat="1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0" fillId="5" borderId="4" xfId="0" applyFill="1" applyBorder="1" applyAlignment="1">
      <alignment horizontal="left"/>
    </xf>
    <xf numFmtId="167" fontId="0" fillId="5" borderId="0" xfId="2" applyNumberFormat="1" applyFont="1" applyFill="1" applyBorder="1" applyAlignment="1">
      <alignment horizontal="center"/>
    </xf>
    <xf numFmtId="0" fontId="0" fillId="5" borderId="0" xfId="0" applyFill="1" applyBorder="1"/>
    <xf numFmtId="0" fontId="0" fillId="0" borderId="0" xfId="0" applyAlignment="1"/>
    <xf numFmtId="0" fontId="0" fillId="7" borderId="0" xfId="0" applyFill="1"/>
    <xf numFmtId="0" fontId="0" fillId="0" borderId="0" xfId="0" applyAlignment="1">
      <alignment horizontal="center"/>
    </xf>
    <xf numFmtId="9" fontId="0" fillId="0" borderId="0" xfId="3" applyFont="1" applyAlignment="1">
      <alignment horizontal="center"/>
    </xf>
    <xf numFmtId="0" fontId="2" fillId="0" borderId="4" xfId="0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70" fontId="0" fillId="0" borderId="0" xfId="0" applyNumberFormat="1" applyAlignment="1">
      <alignment horizontal="center"/>
    </xf>
    <xf numFmtId="0" fontId="0" fillId="9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0" xfId="0" applyFont="1" applyFill="1" applyBorder="1" applyAlignment="1"/>
    <xf numFmtId="0" fontId="12" fillId="0" borderId="5" xfId="0" applyFont="1" applyBorder="1" applyAlignment="1">
      <alignment horizontal="center"/>
    </xf>
    <xf numFmtId="10" fontId="5" fillId="0" borderId="5" xfId="3" applyNumberFormat="1" applyFont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20" fontId="0" fillId="5" borderId="17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0" fontId="0" fillId="8" borderId="17" xfId="0" applyNumberFormat="1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20" fontId="0" fillId="13" borderId="17" xfId="0" applyNumberFormat="1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20" fontId="0" fillId="13" borderId="18" xfId="0" applyNumberForma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165" fontId="0" fillId="0" borderId="0" xfId="1" applyNumberFormat="1" applyFont="1" applyAlignment="1"/>
    <xf numFmtId="0" fontId="14" fillId="0" borderId="0" xfId="0" applyFont="1"/>
    <xf numFmtId="0" fontId="2" fillId="16" borderId="13" xfId="0" applyFont="1" applyFill="1" applyBorder="1" applyAlignment="1">
      <alignment horizontal="left"/>
    </xf>
    <xf numFmtId="0" fontId="13" fillId="14" borderId="13" xfId="0" applyFont="1" applyFill="1" applyBorder="1" applyAlignment="1">
      <alignment horizontal="right"/>
    </xf>
    <xf numFmtId="0" fontId="0" fillId="8" borderId="12" xfId="0" applyFill="1" applyBorder="1"/>
    <xf numFmtId="165" fontId="0" fillId="8" borderId="12" xfId="1" applyNumberFormat="1" applyFont="1" applyFill="1" applyBorder="1" applyAlignment="1">
      <alignment horizontal="center"/>
    </xf>
    <xf numFmtId="0" fontId="0" fillId="9" borderId="12" xfId="0" applyFill="1" applyBorder="1"/>
    <xf numFmtId="165" fontId="0" fillId="9" borderId="12" xfId="1" applyNumberFormat="1" applyFont="1" applyFill="1" applyBorder="1" applyAlignment="1">
      <alignment horizontal="center"/>
    </xf>
    <xf numFmtId="0" fontId="0" fillId="5" borderId="12" xfId="0" applyFill="1" applyBorder="1"/>
    <xf numFmtId="165" fontId="0" fillId="5" borderId="12" xfId="1" applyNumberFormat="1" applyFont="1" applyFill="1" applyBorder="1" applyAlignment="1">
      <alignment horizontal="center"/>
    </xf>
    <xf numFmtId="0" fontId="2" fillId="0" borderId="12" xfId="0" applyFont="1" applyBorder="1"/>
    <xf numFmtId="165" fontId="2" fillId="0" borderId="12" xfId="1" applyNumberFormat="1" applyFont="1" applyBorder="1" applyAlignment="1">
      <alignment horizontal="center"/>
    </xf>
    <xf numFmtId="0" fontId="0" fillId="0" borderId="12" xfId="0" applyBorder="1"/>
    <xf numFmtId="0" fontId="2" fillId="16" borderId="12" xfId="0" applyFont="1" applyFill="1" applyBorder="1" applyAlignment="1">
      <alignment horizontal="left"/>
    </xf>
    <xf numFmtId="165" fontId="0" fillId="0" borderId="12" xfId="1" applyNumberFormat="1" applyFont="1" applyBorder="1" applyAlignment="1">
      <alignment horizontal="center"/>
    </xf>
    <xf numFmtId="0" fontId="2" fillId="0" borderId="9" xfId="0" applyFont="1" applyBorder="1"/>
    <xf numFmtId="165" fontId="2" fillId="0" borderId="9" xfId="1" applyNumberFormat="1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5" xfId="0" applyFill="1" applyBorder="1" applyAlignment="1">
      <alignment horizontal="center"/>
    </xf>
    <xf numFmtId="167" fontId="0" fillId="15" borderId="4" xfId="0" applyNumberFormat="1" applyFill="1" applyBorder="1"/>
    <xf numFmtId="167" fontId="0" fillId="15" borderId="0" xfId="0" applyNumberFormat="1" applyFill="1" applyBorder="1"/>
    <xf numFmtId="167" fontId="0" fillId="15" borderId="6" xfId="0" applyNumberFormat="1" applyFill="1" applyBorder="1"/>
    <xf numFmtId="167" fontId="0" fillId="15" borderId="7" xfId="0" applyNumberFormat="1" applyFill="1" applyBorder="1"/>
    <xf numFmtId="0" fontId="0" fillId="15" borderId="8" xfId="0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8" fontId="2" fillId="8" borderId="0" xfId="0" applyNumberFormat="1" applyFont="1" applyFill="1" applyBorder="1" applyAlignment="1">
      <alignment horizontal="center"/>
    </xf>
    <xf numFmtId="168" fontId="2" fillId="8" borderId="5" xfId="0" applyNumberFormat="1" applyFont="1" applyFill="1" applyBorder="1" applyAlignment="1">
      <alignment horizontal="center"/>
    </xf>
    <xf numFmtId="0" fontId="0" fillId="8" borderId="4" xfId="0" applyFill="1" applyBorder="1"/>
    <xf numFmtId="167" fontId="0" fillId="8" borderId="0" xfId="0" applyNumberFormat="1" applyFill="1" applyBorder="1" applyAlignment="1">
      <alignment horizontal="center"/>
    </xf>
    <xf numFmtId="167" fontId="0" fillId="8" borderId="5" xfId="2" applyNumberFormat="1" applyFont="1" applyFill="1" applyBorder="1" applyAlignment="1">
      <alignment horizontal="center"/>
    </xf>
    <xf numFmtId="0" fontId="0" fillId="8" borderId="4" xfId="0" applyFont="1" applyFill="1" applyBorder="1"/>
    <xf numFmtId="0" fontId="0" fillId="8" borderId="0" xfId="0" applyFill="1" applyBorder="1"/>
    <xf numFmtId="0" fontId="0" fillId="8" borderId="4" xfId="0" applyFill="1" applyBorder="1" applyAlignment="1">
      <alignment horizontal="left"/>
    </xf>
    <xf numFmtId="167" fontId="0" fillId="8" borderId="0" xfId="2" applyNumberFormat="1" applyFont="1" applyFill="1" applyBorder="1" applyAlignment="1">
      <alignment horizontal="center"/>
    </xf>
    <xf numFmtId="168" fontId="0" fillId="8" borderId="0" xfId="2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4" xfId="0" applyFill="1" applyBorder="1" applyAlignment="1">
      <alignment horizontal="left" indent="2"/>
    </xf>
    <xf numFmtId="168" fontId="0" fillId="8" borderId="5" xfId="2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left" indent="2"/>
    </xf>
    <xf numFmtId="167" fontId="0" fillId="8" borderId="7" xfId="2" applyNumberFormat="1" applyFont="1" applyFill="1" applyBorder="1" applyAlignment="1">
      <alignment horizontal="center"/>
    </xf>
    <xf numFmtId="168" fontId="0" fillId="8" borderId="8" xfId="2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8" fontId="2" fillId="5" borderId="0" xfId="0" applyNumberFormat="1" applyFont="1" applyFill="1" applyBorder="1" applyAlignment="1">
      <alignment horizontal="center"/>
    </xf>
    <xf numFmtId="168" fontId="2" fillId="5" borderId="5" xfId="0" applyNumberFormat="1" applyFont="1" applyFill="1" applyBorder="1" applyAlignment="1">
      <alignment horizontal="center"/>
    </xf>
    <xf numFmtId="167" fontId="0" fillId="5" borderId="5" xfId="0" applyNumberFormat="1" applyFill="1" applyBorder="1" applyAlignment="1">
      <alignment horizontal="center"/>
    </xf>
    <xf numFmtId="167" fontId="0" fillId="5" borderId="0" xfId="0" applyNumberFormat="1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5" borderId="4" xfId="0" applyFill="1" applyBorder="1" applyAlignment="1">
      <alignment horizontal="left" indent="2"/>
    </xf>
    <xf numFmtId="167" fontId="0" fillId="5" borderId="5" xfId="2" applyNumberFormat="1" applyFont="1" applyFill="1" applyBorder="1" applyAlignment="1">
      <alignment horizontal="center"/>
    </xf>
    <xf numFmtId="168" fontId="0" fillId="5" borderId="5" xfId="2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left" indent="2"/>
    </xf>
    <xf numFmtId="167" fontId="0" fillId="5" borderId="7" xfId="2" applyNumberFormat="1" applyFont="1" applyFill="1" applyBorder="1" applyAlignment="1">
      <alignment horizontal="center"/>
    </xf>
    <xf numFmtId="168" fontId="0" fillId="5" borderId="8" xfId="2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/>
    </xf>
    <xf numFmtId="168" fontId="2" fillId="12" borderId="13" xfId="0" applyNumberFormat="1" applyFont="1" applyFill="1" applyBorder="1" applyAlignment="1">
      <alignment horizontal="center"/>
    </xf>
    <xf numFmtId="167" fontId="0" fillId="12" borderId="12" xfId="0" applyNumberFormat="1" applyFill="1" applyBorder="1" applyAlignment="1">
      <alignment horizontal="center"/>
    </xf>
    <xf numFmtId="0" fontId="0" fillId="12" borderId="12" xfId="1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167" fontId="0" fillId="12" borderId="12" xfId="2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left"/>
    </xf>
    <xf numFmtId="37" fontId="0" fillId="12" borderId="12" xfId="1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left"/>
    </xf>
    <xf numFmtId="168" fontId="0" fillId="12" borderId="9" xfId="2" applyNumberFormat="1" applyFont="1" applyFill="1" applyBorder="1" applyAlignment="1">
      <alignment horizontal="center"/>
    </xf>
    <xf numFmtId="37" fontId="0" fillId="12" borderId="9" xfId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168" fontId="2" fillId="6" borderId="1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wrapText="1"/>
    </xf>
    <xf numFmtId="43" fontId="0" fillId="0" borderId="0" xfId="0" applyNumberFormat="1" applyAlignment="1"/>
    <xf numFmtId="0" fontId="0" fillId="0" borderId="0" xfId="0" applyNumberFormat="1" applyAlignment="1"/>
    <xf numFmtId="0" fontId="0" fillId="11" borderId="12" xfId="0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20" fontId="0" fillId="0" borderId="13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11" borderId="15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11" borderId="1" xfId="0" applyFill="1" applyBorder="1" applyAlignment="1"/>
    <xf numFmtId="0" fontId="0" fillId="11" borderId="2" xfId="0" applyFill="1" applyBorder="1" applyAlignment="1"/>
    <xf numFmtId="0" fontId="0" fillId="11" borderId="4" xfId="0" applyFill="1" applyBorder="1" applyAlignment="1"/>
    <xf numFmtId="0" fontId="0" fillId="11" borderId="0" xfId="0" applyFill="1" applyBorder="1" applyAlignment="1"/>
    <xf numFmtId="0" fontId="0" fillId="0" borderId="12" xfId="0" applyBorder="1" applyAlignment="1"/>
    <xf numFmtId="0" fontId="4" fillId="0" borderId="0" xfId="0" applyFont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9" xfId="0" applyBorder="1" applyAlignment="1"/>
    <xf numFmtId="164" fontId="0" fillId="0" borderId="0" xfId="1" applyNumberFormat="1" applyFont="1" applyAlignment="1"/>
    <xf numFmtId="0" fontId="0" fillId="5" borderId="1" xfId="0" applyFill="1" applyBorder="1" applyAlignment="1"/>
    <xf numFmtId="0" fontId="0" fillId="5" borderId="2" xfId="0" applyFill="1" applyBorder="1" applyAlignment="1"/>
    <xf numFmtId="0" fontId="0" fillId="0" borderId="4" xfId="0" applyBorder="1" applyAlignment="1"/>
    <xf numFmtId="170" fontId="0" fillId="0" borderId="0" xfId="0" applyNumberFormat="1" applyAlignment="1"/>
    <xf numFmtId="0" fontId="0" fillId="5" borderId="4" xfId="0" applyFill="1" applyBorder="1" applyAlignment="1"/>
    <xf numFmtId="0" fontId="0" fillId="5" borderId="0" xfId="0" applyFill="1" applyBorder="1" applyAlignment="1"/>
    <xf numFmtId="10" fontId="0" fillId="0" borderId="0" xfId="0" applyNumberFormat="1" applyAlignment="1"/>
    <xf numFmtId="0" fontId="0" fillId="5" borderId="6" xfId="0" applyFill="1" applyBorder="1" applyAlignment="1"/>
    <xf numFmtId="0" fontId="0" fillId="5" borderId="7" xfId="0" applyFill="1" applyBorder="1" applyAlignment="1"/>
    <xf numFmtId="0" fontId="2" fillId="19" borderId="10" xfId="0" applyFont="1" applyFill="1" applyBorder="1" applyAlignment="1"/>
    <xf numFmtId="0" fontId="0" fillId="19" borderId="14" xfId="0" applyFill="1" applyBorder="1" applyAlignment="1"/>
    <xf numFmtId="0" fontId="0" fillId="0" borderId="1" xfId="0" applyFill="1" applyBorder="1" applyAlignment="1"/>
    <xf numFmtId="0" fontId="2" fillId="18" borderId="4" xfId="0" applyFont="1" applyFill="1" applyBorder="1" applyAlignment="1"/>
    <xf numFmtId="0" fontId="0" fillId="18" borderId="0" xfId="0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2" fillId="18" borderId="6" xfId="0" applyFont="1" applyFill="1" applyBorder="1" applyAlignment="1"/>
    <xf numFmtId="0" fontId="0" fillId="18" borderId="7" xfId="0" applyFill="1" applyBorder="1" applyAlignment="1"/>
    <xf numFmtId="0" fontId="0" fillId="12" borderId="12" xfId="0" applyFill="1" applyBorder="1" applyAlignment="1"/>
    <xf numFmtId="0" fontId="0" fillId="12" borderId="12" xfId="0" applyFont="1" applyFill="1" applyBorder="1" applyAlignment="1"/>
    <xf numFmtId="0" fontId="2" fillId="0" borderId="0" xfId="0" applyFont="1" applyAlignment="1"/>
    <xf numFmtId="0" fontId="0" fillId="0" borderId="1" xfId="0" applyBorder="1" applyAlignment="1"/>
    <xf numFmtId="0" fontId="0" fillId="0" borderId="13" xfId="0" applyBorder="1" applyAlignment="1"/>
    <xf numFmtId="165" fontId="0" fillId="0" borderId="12" xfId="1" applyNumberFormat="1" applyFont="1" applyBorder="1" applyAlignment="1"/>
    <xf numFmtId="165" fontId="0" fillId="0" borderId="9" xfId="1" applyNumberFormat="1" applyFont="1" applyBorder="1" applyAlignment="1"/>
    <xf numFmtId="9" fontId="0" fillId="0" borderId="0" xfId="3" applyFont="1" applyAlignment="1"/>
    <xf numFmtId="0" fontId="0" fillId="17" borderId="6" xfId="0" applyFill="1" applyBorder="1" applyAlignment="1"/>
    <xf numFmtId="0" fontId="0" fillId="17" borderId="7" xfId="0" applyFill="1" applyBorder="1" applyAlignment="1"/>
    <xf numFmtId="165" fontId="0" fillId="0" borderId="0" xfId="0" applyNumberFormat="1" applyAlignment="1"/>
    <xf numFmtId="1" fontId="5" fillId="0" borderId="0" xfId="0" applyNumberFormat="1" applyFont="1" applyBorder="1" applyAlignment="1"/>
    <xf numFmtId="0" fontId="0" fillId="0" borderId="15" xfId="0" applyFill="1" applyBorder="1" applyAlignment="1"/>
    <xf numFmtId="165" fontId="0" fillId="0" borderId="15" xfId="0" applyNumberFormat="1" applyBorder="1" applyAlignment="1"/>
    <xf numFmtId="0" fontId="2" fillId="0" borderId="15" xfId="0" applyFont="1" applyFill="1" applyBorder="1" applyAlignment="1"/>
    <xf numFmtId="0" fontId="2" fillId="4" borderId="13" xfId="0" applyFont="1" applyFill="1" applyBorder="1" applyAlignment="1">
      <alignment horizontal="center"/>
    </xf>
    <xf numFmtId="168" fontId="2" fillId="4" borderId="13" xfId="0" applyNumberFormat="1" applyFont="1" applyFill="1" applyBorder="1" applyAlignment="1">
      <alignment horizontal="center"/>
    </xf>
    <xf numFmtId="0" fontId="0" fillId="4" borderId="12" xfId="0" applyFill="1" applyBorder="1" applyAlignment="1"/>
    <xf numFmtId="167" fontId="0" fillId="4" borderId="12" xfId="0" applyNumberFormat="1" applyFill="1" applyBorder="1" applyAlignment="1">
      <alignment horizontal="center"/>
    </xf>
    <xf numFmtId="0" fontId="0" fillId="4" borderId="12" xfId="1" applyNumberFormat="1" applyFont="1" applyFill="1" applyBorder="1" applyAlignment="1">
      <alignment horizontal="center"/>
    </xf>
    <xf numFmtId="0" fontId="0" fillId="4" borderId="12" xfId="0" applyFont="1" applyFill="1" applyBorder="1" applyAlignment="1"/>
    <xf numFmtId="0" fontId="0" fillId="4" borderId="1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7" fontId="0" fillId="4" borderId="12" xfId="1" applyNumberFormat="1" applyFont="1" applyFill="1" applyBorder="1" applyAlignment="1">
      <alignment horizontal="center"/>
    </xf>
    <xf numFmtId="167" fontId="0" fillId="4" borderId="9" xfId="0" applyNumberFormat="1" applyFill="1" applyBorder="1" applyAlignment="1">
      <alignment horizontal="center"/>
    </xf>
    <xf numFmtId="7" fontId="0" fillId="4" borderId="9" xfId="1" applyNumberFormat="1" applyFont="1" applyFill="1" applyBorder="1" applyAlignment="1">
      <alignment horizontal="center"/>
    </xf>
    <xf numFmtId="7" fontId="0" fillId="4" borderId="15" xfId="2" applyNumberFormat="1" applyFont="1" applyFill="1" applyBorder="1" applyAlignment="1">
      <alignment horizontal="center"/>
    </xf>
    <xf numFmtId="0" fontId="0" fillId="4" borderId="14" xfId="0" applyFill="1" applyBorder="1" applyAlignment="1"/>
    <xf numFmtId="0" fontId="2" fillId="4" borderId="10" xfId="0" applyFont="1" applyFill="1" applyBorder="1" applyAlignment="1">
      <alignment horizontal="center"/>
    </xf>
    <xf numFmtId="7" fontId="0" fillId="12" borderId="12" xfId="2" applyNumberFormat="1" applyFont="1" applyFill="1" applyBorder="1" applyAlignment="1">
      <alignment horizontal="center"/>
    </xf>
    <xf numFmtId="7" fontId="0" fillId="12" borderId="12" xfId="1" applyNumberFormat="1" applyFont="1" applyFill="1" applyBorder="1" applyAlignment="1">
      <alignment horizontal="center"/>
    </xf>
    <xf numFmtId="167" fontId="0" fillId="12" borderId="9" xfId="0" applyNumberFormat="1" applyFill="1" applyBorder="1" applyAlignment="1">
      <alignment horizontal="center"/>
    </xf>
    <xf numFmtId="7" fontId="0" fillId="12" borderId="9" xfId="2" applyNumberFormat="1" applyFont="1" applyFill="1" applyBorder="1" applyAlignment="1">
      <alignment horizontal="center"/>
    </xf>
    <xf numFmtId="7" fontId="0" fillId="12" borderId="9" xfId="1" applyNumberFormat="1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1" fillId="0" borderId="5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9" borderId="15" xfId="0" applyFill="1" applyBorder="1" applyAlignment="1"/>
    <xf numFmtId="0" fontId="0" fillId="20" borderId="15" xfId="0" applyFill="1" applyBorder="1" applyAlignment="1"/>
    <xf numFmtId="0" fontId="0" fillId="2" borderId="15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171" fontId="0" fillId="4" borderId="13" xfId="2" applyNumberFormat="1" applyFont="1" applyFill="1" applyBorder="1" applyAlignment="1">
      <alignment horizontal="center"/>
    </xf>
    <xf numFmtId="7" fontId="0" fillId="4" borderId="13" xfId="0" applyNumberFormat="1" applyFill="1" applyBorder="1" applyAlignment="1">
      <alignment horizontal="center"/>
    </xf>
    <xf numFmtId="0" fontId="0" fillId="4" borderId="6" xfId="0" applyFill="1" applyBorder="1" applyAlignment="1"/>
    <xf numFmtId="0" fontId="0" fillId="4" borderId="7" xfId="0" applyFill="1" applyBorder="1" applyAlignment="1"/>
    <xf numFmtId="9" fontId="0" fillId="17" borderId="7" xfId="3" applyFont="1" applyFill="1" applyBorder="1" applyAlignment="1">
      <alignment horizontal="center"/>
    </xf>
    <xf numFmtId="9" fontId="0" fillId="17" borderId="8" xfId="3" applyFont="1" applyFill="1" applyBorder="1" applyAlignment="1">
      <alignment horizontal="center"/>
    </xf>
    <xf numFmtId="7" fontId="0" fillId="0" borderId="0" xfId="0" applyNumberFormat="1" applyAlignment="1"/>
    <xf numFmtId="0" fontId="17" fillId="3" borderId="14" xfId="0" applyFont="1" applyFill="1" applyBorder="1" applyAlignment="1">
      <alignment horizontal="right" vertical="center"/>
    </xf>
    <xf numFmtId="9" fontId="17" fillId="3" borderId="1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21" borderId="13" xfId="0" applyFill="1" applyBorder="1" applyAlignment="1"/>
    <xf numFmtId="0" fontId="18" fillId="21" borderId="12" xfId="0" applyFont="1" applyFill="1" applyBorder="1" applyAlignment="1">
      <alignment horizontal="center"/>
    </xf>
    <xf numFmtId="164" fontId="0" fillId="21" borderId="12" xfId="0" applyNumberFormat="1" applyFill="1" applyBorder="1" applyAlignment="1"/>
    <xf numFmtId="164" fontId="0" fillId="21" borderId="9" xfId="0" applyNumberFormat="1" applyFill="1" applyBorder="1" applyAlignment="1"/>
    <xf numFmtId="7" fontId="2" fillId="0" borderId="0" xfId="0" applyNumberFormat="1" applyFont="1" applyAlignment="1"/>
    <xf numFmtId="170" fontId="0" fillId="0" borderId="0" xfId="3" applyNumberFormat="1" applyFont="1" applyAlignment="1"/>
    <xf numFmtId="170" fontId="10" fillId="0" borderId="0" xfId="3" applyNumberFormat="1" applyFont="1" applyAlignment="1"/>
    <xf numFmtId="0" fontId="6" fillId="0" borderId="0" xfId="0" applyFont="1" applyAlignment="1">
      <alignment horizontal="center"/>
    </xf>
    <xf numFmtId="166" fontId="0" fillId="0" borderId="0" xfId="0" applyNumberFormat="1" applyAlignment="1"/>
    <xf numFmtId="172" fontId="0" fillId="0" borderId="0" xfId="0" applyNumberFormat="1" applyAlignment="1"/>
    <xf numFmtId="164" fontId="10" fillId="0" borderId="0" xfId="1" applyNumberFormat="1" applyFont="1" applyBorder="1"/>
    <xf numFmtId="0" fontId="0" fillId="0" borderId="1" xfId="0" applyBorder="1"/>
    <xf numFmtId="0" fontId="1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9" fontId="22" fillId="3" borderId="14" xfId="0" applyNumberFormat="1" applyFont="1" applyFill="1" applyBorder="1" applyAlignment="1">
      <alignment horizontal="left" vertical="center"/>
    </xf>
    <xf numFmtId="0" fontId="0" fillId="0" borderId="0" xfId="0" quotePrefix="1" applyAlignment="1"/>
    <xf numFmtId="0" fontId="3" fillId="0" borderId="0" xfId="0" applyFont="1"/>
    <xf numFmtId="0" fontId="2" fillId="22" borderId="1" xfId="0" applyFont="1" applyFill="1" applyBorder="1" applyAlignment="1"/>
    <xf numFmtId="0" fontId="0" fillId="22" borderId="2" xfId="0" applyFill="1" applyBorder="1" applyAlignment="1"/>
    <xf numFmtId="0" fontId="2" fillId="22" borderId="6" xfId="0" applyFont="1" applyFill="1" applyBorder="1" applyAlignment="1"/>
    <xf numFmtId="0" fontId="0" fillId="22" borderId="7" xfId="0" applyFill="1" applyBorder="1" applyAlignment="1"/>
    <xf numFmtId="0" fontId="0" fillId="0" borderId="0" xfId="0" applyFill="1" applyBorder="1" applyAlignment="1"/>
    <xf numFmtId="8" fontId="0" fillId="0" borderId="0" xfId="0" applyNumberFormat="1" applyAlignment="1"/>
    <xf numFmtId="0" fontId="0" fillId="0" borderId="8" xfId="0" applyBorder="1" applyAlignment="1"/>
    <xf numFmtId="167" fontId="0" fillId="0" borderId="0" xfId="0" applyNumberFormat="1" applyFill="1" applyBorder="1" applyAlignment="1">
      <alignment horizontal="center"/>
    </xf>
    <xf numFmtId="167" fontId="0" fillId="0" borderId="0" xfId="0" applyNumberFormat="1" applyAlignment="1"/>
    <xf numFmtId="44" fontId="0" fillId="0" borderId="0" xfId="2" applyFont="1" applyAlignment="1"/>
    <xf numFmtId="166" fontId="0" fillId="9" borderId="15" xfId="0" applyNumberForma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8" fontId="0" fillId="0" borderId="12" xfId="0" applyNumberFormat="1" applyBorder="1" applyAlignment="1"/>
    <xf numFmtId="0" fontId="0" fillId="22" borderId="15" xfId="0" applyFill="1" applyBorder="1" applyAlignment="1"/>
    <xf numFmtId="37" fontId="5" fillId="12" borderId="12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2"/>
    </xf>
    <xf numFmtId="167" fontId="0" fillId="0" borderId="0" xfId="2" applyNumberFormat="1" applyFont="1" applyFill="1" applyBorder="1" applyAlignment="1">
      <alignment horizontal="center"/>
    </xf>
    <xf numFmtId="168" fontId="0" fillId="0" borderId="0" xfId="2" applyNumberFormat="1" applyFont="1" applyFill="1" applyBorder="1" applyAlignment="1">
      <alignment horizontal="center"/>
    </xf>
    <xf numFmtId="44" fontId="0" fillId="0" borderId="9" xfId="2" applyFont="1" applyBorder="1" applyAlignment="1"/>
    <xf numFmtId="167" fontId="0" fillId="0" borderId="9" xfId="0" applyNumberFormat="1" applyBorder="1" applyAlignment="1"/>
    <xf numFmtId="9" fontId="5" fillId="11" borderId="5" xfId="3" applyFont="1" applyFill="1" applyBorder="1" applyAlignment="1"/>
    <xf numFmtId="165" fontId="5" fillId="11" borderId="5" xfId="1" applyNumberFormat="1" applyFont="1" applyFill="1" applyBorder="1" applyAlignment="1"/>
    <xf numFmtId="164" fontId="5" fillId="11" borderId="5" xfId="1" applyNumberFormat="1" applyFont="1" applyFill="1" applyBorder="1" applyAlignment="1"/>
    <xf numFmtId="0" fontId="5" fillId="5" borderId="3" xfId="0" applyFont="1" applyFill="1" applyBorder="1" applyAlignment="1"/>
    <xf numFmtId="0" fontId="5" fillId="5" borderId="5" xfId="0" applyFont="1" applyFill="1" applyBorder="1" applyAlignment="1"/>
    <xf numFmtId="0" fontId="5" fillId="5" borderId="8" xfId="0" applyFont="1" applyFill="1" applyBorder="1" applyAlignment="1"/>
    <xf numFmtId="9" fontId="5" fillId="19" borderId="14" xfId="3" applyFont="1" applyFill="1" applyBorder="1" applyAlignment="1"/>
    <xf numFmtId="0" fontId="5" fillId="18" borderId="5" xfId="0" applyFont="1" applyFill="1" applyBorder="1" applyAlignment="1"/>
    <xf numFmtId="0" fontId="5" fillId="18" borderId="5" xfId="0" applyFont="1" applyFill="1" applyBorder="1" applyAlignment="1">
      <alignment horizontal="right"/>
    </xf>
    <xf numFmtId="0" fontId="5" fillId="18" borderId="8" xfId="0" applyFont="1" applyFill="1" applyBorder="1" applyAlignment="1"/>
    <xf numFmtId="8" fontId="5" fillId="22" borderId="3" xfId="0" applyNumberFormat="1" applyFont="1" applyFill="1" applyBorder="1" applyAlignment="1"/>
    <xf numFmtId="0" fontId="5" fillId="22" borderId="8" xfId="0" applyFont="1" applyFill="1" applyBorder="1" applyAlignment="1"/>
    <xf numFmtId="9" fontId="5" fillId="19" borderId="11" xfId="3" applyFont="1" applyFill="1" applyBorder="1" applyAlignment="1"/>
    <xf numFmtId="0" fontId="2" fillId="4" borderId="1" xfId="0" applyFont="1" applyFill="1" applyBorder="1" applyAlignment="1">
      <alignment horizontal="center"/>
    </xf>
    <xf numFmtId="7" fontId="0" fillId="4" borderId="13" xfId="2" applyNumberFormat="1" applyFont="1" applyFill="1" applyBorder="1" applyAlignment="1">
      <alignment horizontal="center"/>
    </xf>
    <xf numFmtId="0" fontId="0" fillId="4" borderId="0" xfId="0" applyFill="1" applyBorder="1" applyAlignment="1"/>
    <xf numFmtId="7" fontId="0" fillId="4" borderId="0" xfId="1" applyNumberFormat="1" applyFont="1" applyFill="1" applyBorder="1" applyAlignment="1">
      <alignment horizontal="center"/>
    </xf>
    <xf numFmtId="0" fontId="0" fillId="23" borderId="0" xfId="0" applyFill="1" applyBorder="1" applyAlignment="1"/>
    <xf numFmtId="171" fontId="0" fillId="4" borderId="2" xfId="2" applyNumberFormat="1" applyFont="1" applyFill="1" applyBorder="1" applyAlignment="1">
      <alignment horizontal="center"/>
    </xf>
    <xf numFmtId="7" fontId="0" fillId="4" borderId="3" xfId="0" applyNumberFormat="1" applyFill="1" applyBorder="1" applyAlignment="1">
      <alignment horizontal="center"/>
    </xf>
    <xf numFmtId="0" fontId="0" fillId="4" borderId="4" xfId="0" applyFill="1" applyBorder="1" applyAlignment="1"/>
    <xf numFmtId="7" fontId="0" fillId="4" borderId="5" xfId="1" applyNumberFormat="1" applyFont="1" applyFill="1" applyBorder="1" applyAlignment="1">
      <alignment horizontal="center"/>
    </xf>
    <xf numFmtId="0" fontId="0" fillId="23" borderId="6" xfId="0" applyFill="1" applyBorder="1" applyAlignment="1"/>
    <xf numFmtId="0" fontId="0" fillId="23" borderId="7" xfId="0" applyFill="1" applyBorder="1" applyAlignment="1"/>
    <xf numFmtId="7" fontId="0" fillId="4" borderId="3" xfId="2" applyNumberFormat="1" applyFont="1" applyFill="1" applyBorder="1" applyAlignment="1">
      <alignment horizontal="center"/>
    </xf>
    <xf numFmtId="167" fontId="0" fillId="23" borderId="9" xfId="0" applyNumberFormat="1" applyFill="1" applyBorder="1" applyAlignment="1">
      <alignment horizontal="center"/>
    </xf>
    <xf numFmtId="5" fontId="0" fillId="4" borderId="13" xfId="2" applyNumberFormat="1" applyFont="1" applyFill="1" applyBorder="1" applyAlignment="1">
      <alignment horizontal="center"/>
    </xf>
    <xf numFmtId="5" fontId="0" fillId="4" borderId="12" xfId="2" applyNumberFormat="1" applyFont="1" applyFill="1" applyBorder="1" applyAlignment="1">
      <alignment horizontal="center"/>
    </xf>
    <xf numFmtId="5" fontId="0" fillId="4" borderId="12" xfId="1" applyNumberFormat="1" applyFont="1" applyFill="1" applyBorder="1" applyAlignment="1">
      <alignment horizontal="center"/>
    </xf>
    <xf numFmtId="5" fontId="0" fillId="12" borderId="12" xfId="2" applyNumberFormat="1" applyFont="1" applyFill="1" applyBorder="1" applyAlignment="1">
      <alignment horizontal="center"/>
    </xf>
    <xf numFmtId="5" fontId="0" fillId="12" borderId="12" xfId="1" applyNumberFormat="1" applyFont="1" applyFill="1" applyBorder="1" applyAlignment="1">
      <alignment horizontal="center"/>
    </xf>
    <xf numFmtId="0" fontId="0" fillId="23" borderId="4" xfId="0" applyFill="1" applyBorder="1" applyAlignment="1"/>
    <xf numFmtId="167" fontId="0" fillId="23" borderId="12" xfId="0" applyNumberFormat="1" applyFill="1" applyBorder="1" applyAlignment="1">
      <alignment horizontal="center"/>
    </xf>
    <xf numFmtId="9" fontId="0" fillId="17" borderId="9" xfId="3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5" fontId="0" fillId="4" borderId="9" xfId="2" applyNumberFormat="1" applyFont="1" applyFill="1" applyBorder="1" applyAlignment="1">
      <alignment horizontal="center"/>
    </xf>
    <xf numFmtId="5" fontId="0" fillId="4" borderId="9" xfId="1" applyNumberFormat="1" applyFont="1" applyFill="1" applyBorder="1" applyAlignment="1">
      <alignment horizontal="center"/>
    </xf>
    <xf numFmtId="5" fontId="0" fillId="4" borderId="2" xfId="2" applyNumberFormat="1" applyFont="1" applyFill="1" applyBorder="1" applyAlignment="1">
      <alignment horizontal="center"/>
    </xf>
    <xf numFmtId="5" fontId="0" fillId="4" borderId="3" xfId="0" applyNumberFormat="1" applyFill="1" applyBorder="1" applyAlignment="1">
      <alignment horizontal="center"/>
    </xf>
    <xf numFmtId="5" fontId="0" fillId="4" borderId="12" xfId="0" applyNumberFormat="1" applyFill="1" applyBorder="1" applyAlignment="1"/>
    <xf numFmtId="5" fontId="0" fillId="12" borderId="12" xfId="0" applyNumberFormat="1" applyFill="1" applyBorder="1" applyAlignment="1"/>
    <xf numFmtId="5" fontId="0" fillId="12" borderId="9" xfId="2" applyNumberFormat="1" applyFont="1" applyFill="1" applyBorder="1" applyAlignment="1">
      <alignment horizontal="center"/>
    </xf>
    <xf numFmtId="5" fontId="0" fillId="12" borderId="9" xfId="1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8" fontId="2" fillId="6" borderId="15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wrapText="1"/>
    </xf>
    <xf numFmtId="173" fontId="0" fillId="4" borderId="12" xfId="1" applyNumberFormat="1" applyFont="1" applyFill="1" applyBorder="1" applyAlignment="1">
      <alignment horizontal="center"/>
    </xf>
    <xf numFmtId="173" fontId="0" fillId="4" borderId="12" xfId="2" applyNumberFormat="1" applyFont="1" applyFill="1" applyBorder="1" applyAlignment="1">
      <alignment horizontal="center"/>
    </xf>
    <xf numFmtId="173" fontId="0" fillId="4" borderId="12" xfId="0" applyNumberFormat="1" applyFill="1" applyBorder="1" applyAlignment="1"/>
    <xf numFmtId="173" fontId="0" fillId="4" borderId="9" xfId="2" applyNumberFormat="1" applyFont="1" applyFill="1" applyBorder="1" applyAlignment="1">
      <alignment horizontal="center"/>
    </xf>
    <xf numFmtId="173" fontId="0" fillId="4" borderId="9" xfId="1" applyNumberFormat="1" applyFont="1" applyFill="1" applyBorder="1" applyAlignment="1">
      <alignment horizontal="center"/>
    </xf>
    <xf numFmtId="173" fontId="0" fillId="0" borderId="0" xfId="0" applyNumberFormat="1" applyBorder="1" applyAlignment="1"/>
    <xf numFmtId="173" fontId="0" fillId="0" borderId="5" xfId="0" applyNumberFormat="1" applyBorder="1" applyAlignment="1"/>
    <xf numFmtId="166" fontId="0" fillId="0" borderId="0" xfId="0" applyNumberForma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11" borderId="15" xfId="1" applyFont="1" applyFill="1" applyBorder="1" applyAlignment="1">
      <alignment horizontal="center"/>
    </xf>
    <xf numFmtId="43" fontId="0" fillId="9" borderId="15" xfId="1" applyFont="1" applyFill="1" applyBorder="1" applyAlignment="1">
      <alignment horizontal="center"/>
    </xf>
    <xf numFmtId="43" fontId="0" fillId="2" borderId="15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168" fontId="2" fillId="12" borderId="12" xfId="0" applyNumberFormat="1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 wrapText="1"/>
    </xf>
    <xf numFmtId="168" fontId="0" fillId="12" borderId="12" xfId="0" applyNumberFormat="1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 wrapText="1"/>
    </xf>
    <xf numFmtId="173" fontId="0" fillId="12" borderId="12" xfId="2" applyNumberFormat="1" applyFont="1" applyFill="1" applyBorder="1" applyAlignment="1">
      <alignment horizontal="center"/>
    </xf>
    <xf numFmtId="173" fontId="1" fillId="12" borderId="12" xfId="2" applyNumberFormat="1" applyFont="1" applyFill="1" applyBorder="1" applyAlignment="1">
      <alignment horizontal="center"/>
    </xf>
    <xf numFmtId="173" fontId="0" fillId="12" borderId="12" xfId="0" applyNumberFormat="1" applyFont="1" applyFill="1" applyBorder="1" applyAlignment="1">
      <alignment horizontal="center"/>
    </xf>
    <xf numFmtId="7" fontId="0" fillId="12" borderId="4" xfId="2" applyNumberFormat="1" applyFont="1" applyFill="1" applyBorder="1" applyAlignment="1">
      <alignment horizontal="center"/>
    </xf>
    <xf numFmtId="5" fontId="0" fillId="12" borderId="4" xfId="2" applyNumberFormat="1" applyFont="1" applyFill="1" applyBorder="1" applyAlignment="1">
      <alignment horizontal="center"/>
    </xf>
    <xf numFmtId="5" fontId="0" fillId="12" borderId="4" xfId="1" applyNumberFormat="1" applyFont="1" applyFill="1" applyBorder="1" applyAlignment="1">
      <alignment horizontal="center"/>
    </xf>
    <xf numFmtId="5" fontId="0" fillId="12" borderId="4" xfId="0" applyNumberFormat="1" applyFill="1" applyBorder="1" applyAlignment="1"/>
    <xf numFmtId="5" fontId="0" fillId="12" borderId="6" xfId="2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wrapText="1"/>
    </xf>
    <xf numFmtId="173" fontId="0" fillId="12" borderId="4" xfId="0" applyNumberFormat="1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 wrapText="1"/>
    </xf>
    <xf numFmtId="173" fontId="0" fillId="12" borderId="12" xfId="1" applyNumberFormat="1" applyFont="1" applyFill="1" applyBorder="1" applyAlignment="1">
      <alignment horizontal="center"/>
    </xf>
    <xf numFmtId="5" fontId="1" fillId="12" borderId="12" xfId="1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168" fontId="12" fillId="12" borderId="12" xfId="0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 wrapText="1"/>
    </xf>
    <xf numFmtId="0" fontId="5" fillId="12" borderId="12" xfId="0" applyFont="1" applyFill="1" applyBorder="1" applyAlignment="1"/>
    <xf numFmtId="167" fontId="5" fillId="12" borderId="12" xfId="0" applyNumberFormat="1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wrapText="1"/>
    </xf>
    <xf numFmtId="5" fontId="5" fillId="12" borderId="12" xfId="2" applyNumberFormat="1" applyFont="1" applyFill="1" applyBorder="1" applyAlignment="1">
      <alignment horizontal="center"/>
    </xf>
    <xf numFmtId="5" fontId="5" fillId="12" borderId="12" xfId="1" applyNumberFormat="1" applyFont="1" applyFill="1" applyBorder="1" applyAlignment="1">
      <alignment horizontal="center"/>
    </xf>
    <xf numFmtId="7" fontId="5" fillId="12" borderId="12" xfId="2" applyNumberFormat="1" applyFont="1" applyFill="1" applyBorder="1" applyAlignment="1">
      <alignment horizontal="center"/>
    </xf>
    <xf numFmtId="0" fontId="8" fillId="0" borderId="1" xfId="0" applyFont="1" applyBorder="1" applyAlignment="1"/>
    <xf numFmtId="174" fontId="0" fillId="0" borderId="4" xfId="0" applyNumberFormat="1" applyBorder="1" applyAlignment="1">
      <alignment horizontal="left"/>
    </xf>
    <xf numFmtId="174" fontId="0" fillId="0" borderId="0" xfId="0" applyNumberFormat="1" applyBorder="1" applyAlignment="1">
      <alignment horizontal="left"/>
    </xf>
    <xf numFmtId="174" fontId="0" fillId="0" borderId="5" xfId="0" applyNumberFormat="1" applyBorder="1" applyAlignment="1">
      <alignment horizontal="left"/>
    </xf>
    <xf numFmtId="167" fontId="0" fillId="0" borderId="4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0" fontId="4" fillId="0" borderId="6" xfId="0" applyFont="1" applyBorder="1"/>
    <xf numFmtId="8" fontId="0" fillId="0" borderId="0" xfId="0" applyNumberFormat="1" applyBorder="1" applyAlignment="1">
      <alignment horizontal="right"/>
    </xf>
    <xf numFmtId="167" fontId="0" fillId="0" borderId="7" xfId="2" applyNumberFormat="1" applyFont="1" applyBorder="1" applyAlignment="1">
      <alignment horizontal="right"/>
    </xf>
    <xf numFmtId="0" fontId="5" fillId="11" borderId="1" xfId="0" applyFont="1" applyFill="1" applyBorder="1" applyAlignment="1"/>
    <xf numFmtId="0" fontId="0" fillId="11" borderId="6" xfId="0" applyFill="1" applyBorder="1" applyAlignment="1"/>
    <xf numFmtId="0" fontId="0" fillId="11" borderId="7" xfId="0" applyFill="1" applyBorder="1" applyAlignment="1"/>
    <xf numFmtId="165" fontId="5" fillId="11" borderId="8" xfId="1" applyNumberFormat="1" applyFont="1" applyFill="1" applyBorder="1" applyAlignment="1"/>
    <xf numFmtId="43" fontId="5" fillId="11" borderId="5" xfId="1" applyNumberFormat="1" applyFont="1" applyFill="1" applyBorder="1" applyAlignment="1"/>
    <xf numFmtId="164" fontId="0" fillId="0" borderId="7" xfId="1" applyNumberFormat="1" applyFont="1" applyBorder="1" applyAlignment="1">
      <alignment horizontal="center" vertical="center"/>
    </xf>
    <xf numFmtId="43" fontId="0" fillId="0" borderId="7" xfId="1" applyNumberFormat="1" applyFont="1" applyBorder="1" applyAlignment="1">
      <alignment horizontal="center" vertical="center"/>
    </xf>
    <xf numFmtId="0" fontId="0" fillId="0" borderId="6" xfId="0" applyBorder="1" applyAlignment="1"/>
    <xf numFmtId="43" fontId="0" fillId="0" borderId="10" xfId="1" applyFont="1" applyBorder="1" applyAlignment="1">
      <alignment horizontal="center"/>
    </xf>
    <xf numFmtId="43" fontId="0" fillId="9" borderId="10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5" fontId="0" fillId="4" borderId="15" xfId="2" applyNumberFormat="1" applyFont="1" applyFill="1" applyBorder="1" applyAlignment="1">
      <alignment horizontal="center"/>
    </xf>
    <xf numFmtId="5" fontId="0" fillId="4" borderId="13" xfId="0" applyNumberFormat="1" applyFill="1" applyBorder="1" applyAlignment="1">
      <alignment horizontal="center"/>
    </xf>
    <xf numFmtId="0" fontId="0" fillId="0" borderId="0" xfId="0" applyFill="1"/>
    <xf numFmtId="9" fontId="0" fillId="0" borderId="0" xfId="0" applyNumberFormat="1" applyAlignment="1"/>
    <xf numFmtId="170" fontId="5" fillId="0" borderId="5" xfId="3" applyNumberFormat="1" applyFont="1" applyBorder="1" applyAlignment="1">
      <alignment horizontal="center"/>
    </xf>
    <xf numFmtId="9" fontId="0" fillId="0" borderId="8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7" fontId="0" fillId="0" borderId="0" xfId="0" applyNumberFormat="1" applyAlignment="1">
      <alignment horizontal="center"/>
    </xf>
    <xf numFmtId="43" fontId="5" fillId="11" borderId="3" xfId="0" applyNumberFormat="1" applyFont="1" applyFill="1" applyBorder="1" applyAlignmen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3" fontId="0" fillId="0" borderId="0" xfId="0" applyNumberFormat="1" applyAlignment="1">
      <alignment horizontal="center"/>
    </xf>
    <xf numFmtId="0" fontId="13" fillId="0" borderId="0" xfId="0" applyFont="1" applyFill="1" applyAlignment="1">
      <alignment horizontal="center"/>
    </xf>
    <xf numFmtId="5" fontId="0" fillId="0" borderId="0" xfId="0" applyNumberFormat="1" applyAlignment="1"/>
    <xf numFmtId="5" fontId="2" fillId="0" borderId="0" xfId="0" applyNumberFormat="1" applyFont="1" applyAlignment="1"/>
    <xf numFmtId="0" fontId="0" fillId="0" borderId="19" xfId="0" applyBorder="1" applyAlignment="1"/>
    <xf numFmtId="5" fontId="0" fillId="0" borderId="19" xfId="0" applyNumberFormat="1" applyBorder="1" applyAlignment="1"/>
    <xf numFmtId="173" fontId="0" fillId="0" borderId="0" xfId="2" applyNumberFormat="1" applyFont="1" applyAlignment="1"/>
    <xf numFmtId="173" fontId="0" fillId="0" borderId="19" xfId="2" applyNumberFormat="1" applyFont="1" applyBorder="1" applyAlignment="1"/>
    <xf numFmtId="44" fontId="2" fillId="0" borderId="0" xfId="2" applyFont="1" applyAlignment="1">
      <alignment horizontal="center"/>
    </xf>
    <xf numFmtId="173" fontId="0" fillId="0" borderId="0" xfId="0" applyNumberFormat="1" applyAlignment="1"/>
    <xf numFmtId="173" fontId="0" fillId="0" borderId="19" xfId="0" applyNumberFormat="1" applyBorder="1" applyAlignment="1"/>
    <xf numFmtId="165" fontId="5" fillId="11" borderId="3" xfId="0" applyNumberFormat="1" applyFont="1" applyFill="1" applyBorder="1" applyAlignment="1"/>
    <xf numFmtId="165" fontId="5" fillId="11" borderId="3" xfId="1" applyNumberFormat="1" applyFont="1" applyFill="1" applyBorder="1" applyAlignment="1"/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167" fontId="0" fillId="5" borderId="0" xfId="0" applyNumberFormat="1" applyFill="1" applyBorder="1" applyAlignment="1">
      <alignment horizontal="center" wrapText="1"/>
    </xf>
    <xf numFmtId="0" fontId="23" fillId="0" borderId="0" xfId="0" applyFont="1" applyAlignment="1"/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24" fillId="0" borderId="0" xfId="0" applyFont="1"/>
  </cellXfs>
  <cellStyles count="9">
    <cellStyle name="Comma" xfId="1" builtinId="3"/>
    <cellStyle name="Comma 2 2" xfId="5" xr:uid="{00000000-0005-0000-0000-000002000000}"/>
    <cellStyle name="Currency" xfId="2" builtinId="4"/>
    <cellStyle name="Normal" xfId="0" builtinId="0"/>
    <cellStyle name="Normal 10" xfId="7" xr:uid="{00000000-0005-0000-0000-000008000000}"/>
    <cellStyle name="Normal 14" xfId="8" xr:uid="{00000000-0005-0000-0000-000009000000}"/>
    <cellStyle name="Normal 2 2" xfId="4" xr:uid="{00000000-0005-0000-0000-00000A000000}"/>
    <cellStyle name="Normal 2 3" xfId="6" xr:uid="{00000000-0005-0000-0000-00000B000000}"/>
    <cellStyle name="Percent" xfId="3" builtinId="5"/>
  </cellStyles>
  <dxfs count="244"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9999FF"/>
      <color rgb="FFFF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(Large)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293929490299699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MD EV Depot (Large)'!$J$117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(Large)'!$K$117:$N$117</c:f>
              <c:numCache>
                <c:formatCode>"$"#,##0_);\("$"#,##0\)</c:formatCode>
                <c:ptCount val="4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B-49ED-A62D-80E943BEC5BD}"/>
            </c:ext>
          </c:extLst>
        </c:ser>
        <c:ser>
          <c:idx val="2"/>
          <c:order val="1"/>
          <c:tx>
            <c:strRef>
              <c:f>'1 MD EV Depot (Large)'!$J$118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(Large)'!$K$118:$N$118</c:f>
              <c:numCache>
                <c:formatCode>"$"#,##0_);\("$"#,##0\)</c:formatCode>
                <c:ptCount val="4"/>
                <c:pt idx="0">
                  <c:v>888.00000000000023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B-49ED-A62D-80E943BEC5BD}"/>
            </c:ext>
          </c:extLst>
        </c:ser>
        <c:ser>
          <c:idx val="0"/>
          <c:order val="2"/>
          <c:tx>
            <c:strRef>
              <c:f>'1 MD EV Depot (Large)'!$J$119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B-49ED-A62D-80E943BEC5BD}"/>
            </c:ext>
          </c:extLst>
        </c:ser>
        <c:ser>
          <c:idx val="4"/>
          <c:order val="3"/>
          <c:tx>
            <c:strRef>
              <c:f>'1 MD EV Depot (Large)'!$J$120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(Large)'!$K$120:$N$120</c:f>
              <c:numCache>
                <c:formatCode>"$"#,##0_);\("$"#,##0\)</c:formatCode>
                <c:ptCount val="4"/>
                <c:pt idx="0">
                  <c:v>5323.8291666666682</c:v>
                </c:pt>
                <c:pt idx="1">
                  <c:v>3352.5250000000005</c:v>
                </c:pt>
                <c:pt idx="2">
                  <c:v>3352.5250000000005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B-49ED-A62D-80E943BEC5BD}"/>
            </c:ext>
          </c:extLst>
        </c:ser>
        <c:ser>
          <c:idx val="3"/>
          <c:order val="4"/>
          <c:tx>
            <c:strRef>
              <c:f>'1 MD EV Depot (Large)'!$J$121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10633.159722222226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B-49ED-A62D-80E943BE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0218257743954553E-2"/>
          <c:y val="0.8764755885638762"/>
          <c:w val="0.89999993377505372"/>
          <c:h val="4.7383336008509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(Small)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46214085383822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MD EV Depot (Small)'!$J$117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(Small)'!$K$117:$N$117</c:f>
              <c:numCache>
                <c:formatCode>"$"#,##0</c:formatCode>
                <c:ptCount val="4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F5D-8694-BE4572BA3FD2}"/>
            </c:ext>
          </c:extLst>
        </c:ser>
        <c:ser>
          <c:idx val="2"/>
          <c:order val="1"/>
          <c:tx>
            <c:strRef>
              <c:f>'2 MD EV Depot (Small)'!$J$118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(Small)'!$K$118:$N$118</c:f>
              <c:numCache>
                <c:formatCode>"$"#,##0</c:formatCode>
                <c:ptCount val="4"/>
                <c:pt idx="0">
                  <c:v>133.20000000000002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9-4F5D-8694-BE4572BA3FD2}"/>
            </c:ext>
          </c:extLst>
        </c:ser>
        <c:ser>
          <c:idx val="0"/>
          <c:order val="2"/>
          <c:tx>
            <c:strRef>
              <c:f>'2 MD EV Depot (Small)'!$J$119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570.02</c:v>
                </c:pt>
                <c:pt idx="2">
                  <c:v>285.01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9-4F5D-8694-BE4572BA3FD2}"/>
            </c:ext>
          </c:extLst>
        </c:ser>
        <c:ser>
          <c:idx val="4"/>
          <c:order val="3"/>
          <c:tx>
            <c:strRef>
              <c:f>'2 MD EV Depot (Small)'!$J$120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(Small)'!$K$120:$N$120</c:f>
              <c:numCache>
                <c:formatCode>"$"#,##0</c:formatCode>
                <c:ptCount val="4"/>
                <c:pt idx="0">
                  <c:v>798.57437500000026</c:v>
                </c:pt>
                <c:pt idx="1">
                  <c:v>502.87875000000003</c:v>
                </c:pt>
                <c:pt idx="2">
                  <c:v>502.87875000000003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99-4F5D-8694-BE4572BA3FD2}"/>
            </c:ext>
          </c:extLst>
        </c:ser>
        <c:ser>
          <c:idx val="3"/>
          <c:order val="4"/>
          <c:tx>
            <c:strRef>
              <c:f>'2 MD EV Depot (Small)'!$J$121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1594.9739583333337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99-4F5D-8694-BE4572BA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3: Average Summer Monthly Bill</a:t>
            </a:r>
          </a:p>
          <a:p>
            <a:pPr>
              <a:defRPr b="1"/>
            </a:pPr>
            <a:r>
              <a:rPr lang="en-US" b="1" baseline="0"/>
              <a:t>Transit </a:t>
            </a:r>
            <a:r>
              <a:rPr lang="en-US" b="1"/>
              <a:t>Bus Depot</a:t>
            </a:r>
            <a:r>
              <a:rPr lang="en-US" b="1" baseline="0"/>
              <a:t>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480677216300603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Transit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Depot'!$K$117:$N$117</c:f>
              <c:numCache>
                <c:formatCode>"$"#,##0_);\("$"#,##0\)</c:formatCode>
                <c:ptCount val="4"/>
                <c:pt idx="0">
                  <c:v>101.56</c:v>
                </c:pt>
                <c:pt idx="1">
                  <c:v>744.64</c:v>
                </c:pt>
                <c:pt idx="2">
                  <c:v>744.64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5-4E66-B7E3-2F687527EBE0}"/>
            </c:ext>
          </c:extLst>
        </c:ser>
        <c:ser>
          <c:idx val="2"/>
          <c:order val="1"/>
          <c:tx>
            <c:strRef>
              <c:f>'3 Transit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Depot'!$K$118:$N$118</c:f>
              <c:numCache>
                <c:formatCode>"$"#,##0_);\("$"#,##0\)</c:formatCode>
                <c:ptCount val="4"/>
                <c:pt idx="0">
                  <c:v>3552.0000000000009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5-4E66-B7E3-2F687527EBE0}"/>
            </c:ext>
          </c:extLst>
        </c:ser>
        <c:ser>
          <c:idx val="0"/>
          <c:order val="2"/>
          <c:tx>
            <c:strRef>
              <c:f>'3 Transit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345-41F1-A9B6-B7D7C092B3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5-41F1-A9B6-B7D7C092B3A9}"/>
              </c:ext>
            </c:extLst>
          </c:dPt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14478.63</c:v>
                </c:pt>
                <c:pt idx="2">
                  <c:v>7239.3149999999996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5-4E66-B7E3-2F687527EBE0}"/>
            </c:ext>
          </c:extLst>
        </c:ser>
        <c:ser>
          <c:idx val="4"/>
          <c:order val="3"/>
          <c:tx>
            <c:strRef>
              <c:f>'3 Transit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Depot'!$K$120:$N$120</c:f>
              <c:numCache>
                <c:formatCode>"$"#,##0_);\("$"#,##0\)</c:formatCode>
                <c:ptCount val="4"/>
                <c:pt idx="0">
                  <c:v>21295.316666666673</c:v>
                </c:pt>
                <c:pt idx="1">
                  <c:v>13410.100000000002</c:v>
                </c:pt>
                <c:pt idx="2">
                  <c:v>13410.100000000002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5-4E66-B7E3-2F687527EBE0}"/>
            </c:ext>
          </c:extLst>
        </c:ser>
        <c:ser>
          <c:idx val="3"/>
          <c:order val="4"/>
          <c:tx>
            <c:strRef>
              <c:f>'3 Transit Bus Depot'!$J$121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29735.429449199051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5-4E66-B7E3-2F687527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10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4: Average Summer Monthly Bill</a:t>
            </a:r>
          </a:p>
          <a:p>
            <a:pPr>
              <a:defRPr b="1"/>
            </a:pPr>
            <a:r>
              <a:rPr lang="en-US" b="1"/>
              <a:t>School Bus Depot</a:t>
            </a:r>
            <a:r>
              <a:rPr lang="en-US" b="1" baseline="0"/>
              <a:t> with 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1299622128815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School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Depot'!$K$117:$N$117</c:f>
              <c:numCache>
                <c:formatCode>"$"#,##0</c:formatCode>
                <c:ptCount val="4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75A-A3E7-999BD182EE50}"/>
            </c:ext>
          </c:extLst>
        </c:ser>
        <c:ser>
          <c:idx val="2"/>
          <c:order val="1"/>
          <c:tx>
            <c:strRef>
              <c:f>'4 School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Depot'!$K$118:$N$118</c:f>
              <c:numCache>
                <c:formatCode>"$"#,##0</c:formatCode>
                <c:ptCount val="4"/>
                <c:pt idx="0">
                  <c:v>888.00000000000023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8-475A-A3E7-999BD182EE50}"/>
            </c:ext>
          </c:extLst>
        </c:ser>
        <c:ser>
          <c:idx val="0"/>
          <c:order val="2"/>
          <c:tx>
            <c:strRef>
              <c:f>'4 School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8-475A-A3E7-999BD182EE50}"/>
            </c:ext>
          </c:extLst>
        </c:ser>
        <c:ser>
          <c:idx val="4"/>
          <c:order val="3"/>
          <c:tx>
            <c:strRef>
              <c:f>'4 School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Depot'!$K$120:$N$120</c:f>
              <c:numCache>
                <c:formatCode>"$"#,##0</c:formatCode>
                <c:ptCount val="4"/>
                <c:pt idx="0">
                  <c:v>4563.2821428571442</c:v>
                </c:pt>
                <c:pt idx="1">
                  <c:v>2873.5928571428576</c:v>
                </c:pt>
                <c:pt idx="2">
                  <c:v>2873.5928571428576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8-475A-A3E7-999BD182EE50}"/>
            </c:ext>
          </c:extLst>
        </c:ser>
        <c:ser>
          <c:idx val="3"/>
          <c:order val="4"/>
          <c:tx>
            <c:strRef>
              <c:f>'4 School Bus Depot'!$J$121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10207.833333333334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8-475A-A3E7-999BD182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5: Average Summer Monthly Bill</a:t>
            </a:r>
          </a:p>
          <a:p>
            <a:pPr>
              <a:defRPr b="1"/>
            </a:pPr>
            <a:r>
              <a:rPr lang="en-US" b="1"/>
              <a:t>DC Fast Charging </a:t>
            </a:r>
            <a:r>
              <a:rPr lang="en-US" b="1" baseline="0"/>
              <a:t>with 29%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2303197671530892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DC Fast Charger'!$J$117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Charger'!$K$117:$M$117</c:f>
              <c:numCache>
                <c:formatCode>"$"#,##0.00_);\("$"#,##0.00\)</c:formatCode>
                <c:ptCount val="3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2-4AA5-8387-52975BD9FCF2}"/>
            </c:ext>
          </c:extLst>
        </c:ser>
        <c:ser>
          <c:idx val="2"/>
          <c:order val="1"/>
          <c:tx>
            <c:strRef>
              <c:f>'5 DC Fast Charger'!$J$118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Charger'!$K$118:$M$118</c:f>
              <c:numCache>
                <c:formatCode>"$"#,##0.00_);\("$"#,##0.00\)</c:formatCode>
                <c:ptCount val="3"/>
                <c:pt idx="0">
                  <c:v>888.00000000000023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2-4AA5-8387-52975BD9FCF2}"/>
            </c:ext>
          </c:extLst>
        </c:ser>
        <c:ser>
          <c:idx val="0"/>
          <c:order val="2"/>
          <c:tx>
            <c:strRef>
              <c:f>'5 DC Fast Charger'!$J$119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Charger'!$K$119:$M$119</c:f>
              <c:numCache>
                <c:formatCode>"$"#,##0.00_);\("$"#,##0.00\)</c:formatCode>
                <c:ptCount val="3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2-4AA5-8387-52975BD9FCF2}"/>
            </c:ext>
          </c:extLst>
        </c:ser>
        <c:ser>
          <c:idx val="4"/>
          <c:order val="3"/>
          <c:tx>
            <c:strRef>
              <c:f>'5 DC Fast Charger'!$J$120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Charger'!$K$120:$M$120</c:f>
              <c:numCache>
                <c:formatCode>"$"#,##0.00_);\("$"#,##0.00\)</c:formatCode>
                <c:ptCount val="3"/>
                <c:pt idx="0">
                  <c:v>16768.404148479174</c:v>
                </c:pt>
                <c:pt idx="1">
                  <c:v>18126.642716315313</c:v>
                </c:pt>
                <c:pt idx="2">
                  <c:v>18126.642716315313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2-4AA5-8387-52975BD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5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430DA-C22E-4651-98EE-9FC20C693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109C3-47C2-44A5-B53D-E4DAD261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4F65F8-D252-470C-B6C3-F4E7E944A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481930</xdr:colOff>
      <xdr:row>81</xdr:row>
      <xdr:rowOff>76133</xdr:rowOff>
    </xdr:from>
    <xdr:to>
      <xdr:col>14</xdr:col>
      <xdr:colOff>142875</xdr:colOff>
      <xdr:row>113</xdr:row>
      <xdr:rowOff>43656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5DD80-1D00-4996-BD9F-B47A6D691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34255</xdr:colOff>
      <xdr:row>81</xdr:row>
      <xdr:rowOff>41208</xdr:rowOff>
    </xdr:from>
    <xdr:to>
      <xdr:col>13</xdr:col>
      <xdr:colOff>1250155</xdr:colOff>
      <xdr:row>113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08C94D-CB98-438C-B90F-46C1B3EF5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19</xdr:col>
      <xdr:colOff>8184</xdr:colOff>
      <xdr:row>22</xdr:row>
      <xdr:rowOff>15885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ADB4E-DA3C-4DC0-A295-EBA8BF93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247650"/>
          <a:ext cx="7323384" cy="402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G&amp;E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89C4"/>
      </a:accent1>
      <a:accent2>
        <a:srgbClr val="FFA100"/>
      </a:accent2>
      <a:accent3>
        <a:srgbClr val="777777"/>
      </a:accent3>
      <a:accent4>
        <a:srgbClr val="70A489"/>
      </a:accent4>
      <a:accent5>
        <a:srgbClr val="CAB575"/>
      </a:accent5>
      <a:accent6>
        <a:srgbClr val="A3A86B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I88"/>
  <sheetViews>
    <sheetView tabSelected="1" zoomScale="80" zoomScaleNormal="80" workbookViewId="0">
      <selection activeCell="E3" sqref="E3"/>
    </sheetView>
  </sheetViews>
  <sheetFormatPr defaultRowHeight="15" x14ac:dyDescent="0.25"/>
  <cols>
    <col min="1" max="1" width="15.140625" customWidth="1"/>
    <col min="2" max="2" width="4.42578125" customWidth="1"/>
    <col min="3" max="3" width="32.7109375" customWidth="1"/>
    <col min="4" max="4" width="28" customWidth="1"/>
    <col min="5" max="6" width="19.42578125" customWidth="1"/>
    <col min="7" max="7" width="22.140625" customWidth="1"/>
    <col min="8" max="8" width="19.7109375" customWidth="1"/>
    <col min="9" max="9" width="3" customWidth="1"/>
    <col min="10" max="10" width="2.42578125" customWidth="1"/>
  </cols>
  <sheetData>
    <row r="1" spans="1:9" ht="23.25" x14ac:dyDescent="0.35">
      <c r="A1" s="410" t="s">
        <v>181</v>
      </c>
    </row>
    <row r="3" spans="1:9" x14ac:dyDescent="0.25">
      <c r="A3" s="222" t="s">
        <v>0</v>
      </c>
    </row>
    <row r="4" spans="1:9" ht="9.75" customHeight="1" x14ac:dyDescent="0.25">
      <c r="A4" s="224"/>
    </row>
    <row r="5" spans="1:9" ht="9.75" customHeight="1" thickBot="1" x14ac:dyDescent="0.3">
      <c r="A5" s="224"/>
    </row>
    <row r="6" spans="1:9" ht="18.75" x14ac:dyDescent="0.3">
      <c r="A6" s="378">
        <v>1</v>
      </c>
      <c r="B6" s="212"/>
      <c r="C6" s="213" t="s">
        <v>1</v>
      </c>
      <c r="D6" s="214"/>
      <c r="E6" s="214"/>
      <c r="F6" s="214"/>
      <c r="G6" s="214"/>
      <c r="H6" s="214"/>
      <c r="I6" s="215"/>
    </row>
    <row r="7" spans="1:9" ht="15.75" thickBot="1" x14ac:dyDescent="0.3">
      <c r="A7" s="231"/>
      <c r="B7" s="216"/>
      <c r="C7" s="217"/>
      <c r="D7" s="217"/>
      <c r="E7" s="217"/>
      <c r="F7" s="217"/>
      <c r="G7" s="217"/>
      <c r="H7" s="217"/>
      <c r="I7" s="218"/>
    </row>
    <row r="8" spans="1:9" ht="16.5" thickBot="1" x14ac:dyDescent="0.3">
      <c r="A8" s="224"/>
      <c r="B8" s="216"/>
      <c r="C8" s="93" t="s">
        <v>2</v>
      </c>
      <c r="D8" s="116"/>
      <c r="E8" s="226" t="s">
        <v>3</v>
      </c>
      <c r="F8" s="225" t="s">
        <v>4</v>
      </c>
      <c r="G8" s="225" t="s">
        <v>5</v>
      </c>
      <c r="H8" s="227" t="s">
        <v>6</v>
      </c>
      <c r="I8" s="218"/>
    </row>
    <row r="9" spans="1:9" ht="16.5" thickBot="1" x14ac:dyDescent="0.3">
      <c r="A9" s="224"/>
      <c r="B9" s="216"/>
      <c r="C9" s="177" t="s">
        <v>7</v>
      </c>
      <c r="D9" s="176"/>
      <c r="E9" s="366">
        <f>'1 MD EV Depot (Large)'!$D$93</f>
        <v>35364.895000000004</v>
      </c>
      <c r="F9" s="366">
        <f>'1 MD EV Depot (Large)'!$E$93</f>
        <v>14217.741333333333</v>
      </c>
      <c r="G9" s="366">
        <f>'1 MD EV Depot (Large)'!$F$93</f>
        <v>35544.353333333333</v>
      </c>
      <c r="H9" s="366">
        <f>'1 MD EV Depot (Large)'!$G$93</f>
        <v>85126.989666666675</v>
      </c>
      <c r="I9" s="218"/>
    </row>
    <row r="10" spans="1:9" ht="15.75" x14ac:dyDescent="0.25">
      <c r="A10" s="224"/>
      <c r="B10" s="216"/>
      <c r="C10" s="189" t="s">
        <v>8</v>
      </c>
      <c r="D10" s="190"/>
      <c r="E10" s="279">
        <f>'1 MD EV Depot (Large)'!$D$94</f>
        <v>7072.9790000000012</v>
      </c>
      <c r="F10" s="279">
        <f>'1 MD EV Depot (Large)'!$E$94</f>
        <v>7108.8706666666667</v>
      </c>
      <c r="G10" s="279">
        <f>'1 MD EV Depot (Large)'!$F$94</f>
        <v>7108.8706666666667</v>
      </c>
      <c r="H10" s="367">
        <f>'1 MD EV Depot (Large)'!$G$94</f>
        <v>7093.9158055555563</v>
      </c>
      <c r="I10" s="218"/>
    </row>
    <row r="11" spans="1:9" ht="16.5" thickBot="1" x14ac:dyDescent="0.3">
      <c r="A11" s="224"/>
      <c r="B11" s="216"/>
      <c r="C11" s="193" t="s">
        <v>9</v>
      </c>
      <c r="D11" s="194"/>
      <c r="E11" s="174">
        <f>'1 MD EV Depot (Large)'!$D$95</f>
        <v>0.23253629589041092</v>
      </c>
      <c r="F11" s="174">
        <f>'1 MD EV Depot (Large)'!$E$95</f>
        <v>0.23371629589041093</v>
      </c>
      <c r="G11" s="174">
        <f>'1 MD EV Depot (Large)'!$F$95</f>
        <v>0.2337162958904109</v>
      </c>
      <c r="H11" s="174">
        <f>'1 MD EV Depot (Large)'!$G$95</f>
        <v>0.23322462922374423</v>
      </c>
      <c r="I11" s="218"/>
    </row>
    <row r="12" spans="1:9" ht="15.75" thickBot="1" x14ac:dyDescent="0.3">
      <c r="A12" s="231"/>
      <c r="B12" s="216"/>
      <c r="C12" s="157" t="s">
        <v>10</v>
      </c>
      <c r="D12" s="158"/>
      <c r="E12" s="195">
        <f>'1 MD EV Depot (Large)'!$D$97</f>
        <v>-0.12031411549026649</v>
      </c>
      <c r="F12" s="195">
        <f>'1 MD EV Depot (Large)'!$E$97</f>
        <v>-0.11963399529369244</v>
      </c>
      <c r="G12" s="195">
        <f>'1 MD EV Depot (Large)'!$F$97</f>
        <v>-0.11963399529369245</v>
      </c>
      <c r="H12" s="196">
        <f>'1 MD EV Depot (Large)'!$G$97</f>
        <v>-0.11991644204361204</v>
      </c>
      <c r="I12" s="218"/>
    </row>
    <row r="13" spans="1:9" ht="15.75" x14ac:dyDescent="0.25">
      <c r="A13" s="224"/>
      <c r="B13" s="216"/>
      <c r="C13" s="217"/>
      <c r="D13" s="217"/>
      <c r="E13" s="217"/>
      <c r="F13" s="217"/>
      <c r="G13" s="217"/>
      <c r="H13" s="217"/>
      <c r="I13" s="218"/>
    </row>
    <row r="14" spans="1:9" ht="16.5" thickBot="1" x14ac:dyDescent="0.3">
      <c r="A14" s="224"/>
      <c r="B14" s="216"/>
      <c r="C14" s="217"/>
      <c r="D14" s="217"/>
      <c r="E14" s="217"/>
      <c r="F14" s="217"/>
      <c r="G14" s="217"/>
      <c r="H14" s="217"/>
      <c r="I14" s="218"/>
    </row>
    <row r="15" spans="1:9" ht="16.5" thickBot="1" x14ac:dyDescent="0.3">
      <c r="A15" s="224"/>
      <c r="B15" s="216"/>
      <c r="C15" s="93" t="s">
        <v>2</v>
      </c>
      <c r="D15" s="228" t="s">
        <v>11</v>
      </c>
      <c r="E15" s="229">
        <f>'1 MD EV Depot (Large)'!$D$99</f>
        <v>0.5</v>
      </c>
      <c r="F15" s="116"/>
      <c r="G15" s="116"/>
      <c r="H15" s="185"/>
      <c r="I15" s="218"/>
    </row>
    <row r="16" spans="1:9" ht="16.5" thickBot="1" x14ac:dyDescent="0.3">
      <c r="A16" s="224"/>
      <c r="B16" s="216"/>
      <c r="C16" s="177" t="s">
        <v>7</v>
      </c>
      <c r="D16" s="176"/>
      <c r="E16" s="366">
        <f>'1 MD EV Depot (Large)'!$D$120</f>
        <v>26529.520000000004</v>
      </c>
      <c r="F16" s="366">
        <f>'1 MD EV Depot (Large)'!$E$120</f>
        <v>10683.591333333334</v>
      </c>
      <c r="G16" s="366">
        <f>'1 MD EV Depot (Large)'!$F$120</f>
        <v>26708.978333333336</v>
      </c>
      <c r="H16" s="366">
        <f>'1 MD EV Depot (Large)'!$G$120</f>
        <v>63922.089666666674</v>
      </c>
      <c r="I16" s="218"/>
    </row>
    <row r="17" spans="1:9" ht="15.75" x14ac:dyDescent="0.25">
      <c r="A17" s="224"/>
      <c r="B17" s="216"/>
      <c r="C17" s="189" t="s">
        <v>8</v>
      </c>
      <c r="D17" s="190"/>
      <c r="E17" s="279">
        <f>'1 MD EV Depot (Large)'!$D$121</f>
        <v>5305.9040000000005</v>
      </c>
      <c r="F17" s="279">
        <f>'1 MD EV Depot (Large)'!$E$121</f>
        <v>5341.7956666666669</v>
      </c>
      <c r="G17" s="279">
        <f>'1 MD EV Depot (Large)'!$F$121</f>
        <v>5341.7956666666669</v>
      </c>
      <c r="H17" s="367">
        <f>'1 MD EV Depot (Large)'!$G$121</f>
        <v>5326.8408055555565</v>
      </c>
      <c r="I17" s="218"/>
    </row>
    <row r="18" spans="1:9" ht="16.5" thickBot="1" x14ac:dyDescent="0.3">
      <c r="A18" s="224"/>
      <c r="B18" s="216"/>
      <c r="C18" s="193" t="s">
        <v>9</v>
      </c>
      <c r="D18" s="194"/>
      <c r="E18" s="174">
        <f>'1 MD EV Depot (Large)'!$D$122</f>
        <v>0.17444067945205477</v>
      </c>
      <c r="F18" s="174">
        <f>'1 MD EV Depot (Large)'!$E$122</f>
        <v>0.17562067945205478</v>
      </c>
      <c r="G18" s="174">
        <f>'1 MD EV Depot (Large)'!$F$122</f>
        <v>0.17562067945205476</v>
      </c>
      <c r="H18" s="174">
        <f>'1 MD EV Depot (Large)'!$G$122</f>
        <v>0.17512901278538809</v>
      </c>
      <c r="I18" s="218"/>
    </row>
    <row r="19" spans="1:9" ht="16.5" thickBot="1" x14ac:dyDescent="0.3">
      <c r="A19" s="224"/>
      <c r="B19" s="216"/>
      <c r="C19" s="157" t="s">
        <v>10</v>
      </c>
      <c r="D19" s="158"/>
      <c r="E19" s="195">
        <f>'1 MD EV Depot (Large)'!$D$124</f>
        <v>0.15957913254991041</v>
      </c>
      <c r="F19" s="195">
        <f>'1 MD EV Depot (Large)'!$E$124</f>
        <v>0.1586770522698307</v>
      </c>
      <c r="G19" s="195">
        <f>'1 MD EV Depot (Large)'!$F$124</f>
        <v>0.15867705226983073</v>
      </c>
      <c r="H19" s="196">
        <f>'1 MD EV Depot (Large)'!$G$124</f>
        <v>0.15905167670321502</v>
      </c>
      <c r="I19" s="218"/>
    </row>
    <row r="20" spans="1:9" ht="16.5" thickBot="1" x14ac:dyDescent="0.3">
      <c r="A20" s="224"/>
      <c r="B20" s="219"/>
      <c r="C20" s="220"/>
      <c r="D20" s="220"/>
      <c r="E20" s="220"/>
      <c r="F20" s="220"/>
      <c r="G20" s="220"/>
      <c r="H20" s="220"/>
      <c r="I20" s="221"/>
    </row>
    <row r="21" spans="1:9" ht="9.75" customHeight="1" x14ac:dyDescent="0.25">
      <c r="A21" s="224"/>
    </row>
    <row r="22" spans="1:9" ht="9.75" customHeight="1" thickBot="1" x14ac:dyDescent="0.3">
      <c r="A22" s="224"/>
    </row>
    <row r="23" spans="1:9" ht="18.75" x14ac:dyDescent="0.3">
      <c r="A23" s="378" t="str">
        <f>HYPERLINK('2 MD EV Depot (Small)'!A1,"2")</f>
        <v>2</v>
      </c>
      <c r="B23" s="212"/>
      <c r="C23" s="213" t="s">
        <v>12</v>
      </c>
      <c r="D23" s="214"/>
      <c r="E23" s="214"/>
      <c r="F23" s="214"/>
      <c r="G23" s="214"/>
      <c r="H23" s="214"/>
      <c r="I23" s="215"/>
    </row>
    <row r="24" spans="1:9" ht="16.5" thickBot="1" x14ac:dyDescent="0.3">
      <c r="A24" s="224"/>
      <c r="B24" s="216"/>
      <c r="C24" s="217"/>
      <c r="D24" s="217"/>
      <c r="E24" s="217"/>
      <c r="F24" s="217"/>
      <c r="G24" s="217"/>
      <c r="H24" s="217"/>
      <c r="I24" s="218"/>
    </row>
    <row r="25" spans="1:9" ht="16.5" thickBot="1" x14ac:dyDescent="0.3">
      <c r="A25" s="224"/>
      <c r="B25" s="216"/>
      <c r="C25" s="93" t="s">
        <v>2</v>
      </c>
      <c r="D25" s="116"/>
      <c r="E25" s="226" t="s">
        <v>3</v>
      </c>
      <c r="F25" s="225" t="s">
        <v>4</v>
      </c>
      <c r="G25" s="225" t="s">
        <v>5</v>
      </c>
      <c r="H25" s="227" t="s">
        <v>6</v>
      </c>
      <c r="I25" s="218"/>
    </row>
    <row r="26" spans="1:9" ht="16.5" thickBot="1" x14ac:dyDescent="0.3">
      <c r="A26" s="224"/>
      <c r="B26" s="216"/>
      <c r="C26" s="177" t="s">
        <v>7</v>
      </c>
      <c r="D26" s="176"/>
      <c r="E26" s="366">
        <f>'2 MD EV Depot (Small)'!$D$93</f>
        <v>6296.0137500000001</v>
      </c>
      <c r="F26" s="366">
        <f>'2 MD EV Depot (Small)'!$E$93</f>
        <v>2529.1730000000002</v>
      </c>
      <c r="G26" s="366">
        <f>'2 MD EV Depot (Small)'!$F$93</f>
        <v>6322.9325000000008</v>
      </c>
      <c r="H26" s="366">
        <f>'2 MD EV Depot (Small)'!$G$93</f>
        <v>15148.11925</v>
      </c>
      <c r="I26" s="218"/>
    </row>
    <row r="27" spans="1:9" ht="15.75" x14ac:dyDescent="0.25">
      <c r="A27" s="224"/>
      <c r="B27" s="216"/>
      <c r="C27" s="189" t="s">
        <v>8</v>
      </c>
      <c r="D27" s="190"/>
      <c r="E27" s="279">
        <f>'2 MD EV Depot (Small)'!$D$94</f>
        <v>1259.2027499999999</v>
      </c>
      <c r="F27" s="279">
        <f>'2 MD EV Depot (Small)'!$E$94</f>
        <v>1264.5865000000001</v>
      </c>
      <c r="G27" s="279">
        <f>'2 MD EV Depot (Small)'!$F$94</f>
        <v>1264.5865000000001</v>
      </c>
      <c r="H27" s="367">
        <f>'2 MD EV Depot (Small)'!$G$94</f>
        <v>1262.3432708333332</v>
      </c>
      <c r="I27" s="218"/>
    </row>
    <row r="28" spans="1:9" ht="16.5" thickBot="1" x14ac:dyDescent="0.3">
      <c r="A28" s="224"/>
      <c r="B28" s="216"/>
      <c r="C28" s="193" t="s">
        <v>9</v>
      </c>
      <c r="D28" s="194"/>
      <c r="E28" s="174">
        <f>'2 MD EV Depot (Small)'!$D$95</f>
        <v>0.27598964383561642</v>
      </c>
      <c r="F28" s="174">
        <f>'2 MD EV Depot (Small)'!$E$95</f>
        <v>0.27716964383561643</v>
      </c>
      <c r="G28" s="174">
        <f>'2 MD EV Depot (Small)'!$F$95</f>
        <v>0.27716964383561643</v>
      </c>
      <c r="H28" s="174">
        <f>'2 MD EV Depot (Small)'!$G$95</f>
        <v>0.27667797716894971</v>
      </c>
      <c r="I28" s="218"/>
    </row>
    <row r="29" spans="1:9" ht="16.5" thickBot="1" x14ac:dyDescent="0.3">
      <c r="A29" s="224"/>
      <c r="B29" s="216"/>
      <c r="C29" s="157" t="s">
        <v>10</v>
      </c>
      <c r="D29" s="158"/>
      <c r="E29" s="195">
        <f>'2 MD EV Depot (Small)'!$D$97</f>
        <v>-0.21858207804225976</v>
      </c>
      <c r="F29" s="195">
        <f>'2 MD EV Depot (Small)'!$E$97</f>
        <v>-0.21744915156842948</v>
      </c>
      <c r="G29" s="195">
        <f>'2 MD EV Depot (Small)'!$F$97</f>
        <v>-0.21744915156842962</v>
      </c>
      <c r="H29" s="196">
        <f>'2 MD EV Depot (Small)'!$G$97</f>
        <v>-0.21791977394532067</v>
      </c>
      <c r="I29" s="218"/>
    </row>
    <row r="30" spans="1:9" ht="15.75" x14ac:dyDescent="0.25">
      <c r="A30" s="224"/>
      <c r="B30" s="216"/>
      <c r="C30" s="217"/>
      <c r="D30" s="217"/>
      <c r="E30" s="217"/>
      <c r="F30" s="217"/>
      <c r="G30" s="217"/>
      <c r="H30" s="217"/>
      <c r="I30" s="218"/>
    </row>
    <row r="31" spans="1:9" ht="16.5" thickBot="1" x14ac:dyDescent="0.3">
      <c r="A31" s="224"/>
      <c r="B31" s="216"/>
      <c r="C31" s="217"/>
      <c r="D31" s="217"/>
      <c r="E31" s="217"/>
      <c r="F31" s="217"/>
      <c r="G31" s="217"/>
      <c r="H31" s="217"/>
      <c r="I31" s="218"/>
    </row>
    <row r="32" spans="1:9" ht="16.5" thickBot="1" x14ac:dyDescent="0.3">
      <c r="A32" s="224"/>
      <c r="B32" s="216"/>
      <c r="C32" s="93" t="s">
        <v>2</v>
      </c>
      <c r="D32" s="228" t="s">
        <v>11</v>
      </c>
      <c r="E32" s="229">
        <f>'2 MD EV Depot (Small)'!$D$99</f>
        <v>0.5</v>
      </c>
      <c r="F32" s="116"/>
      <c r="G32" s="116"/>
      <c r="H32" s="185"/>
      <c r="I32" s="218"/>
    </row>
    <row r="33" spans="1:9" ht="16.5" thickBot="1" x14ac:dyDescent="0.3">
      <c r="A33" s="224"/>
      <c r="B33" s="216"/>
      <c r="C33" s="177" t="s">
        <v>7</v>
      </c>
      <c r="D33" s="176"/>
      <c r="E33" s="366">
        <f>'2 MD EV Depot (Small)'!$D$120</f>
        <v>4870.9637499999999</v>
      </c>
      <c r="F33" s="366">
        <f>'2 MD EV Depot (Small)'!$E$120</f>
        <v>1959.1530000000002</v>
      </c>
      <c r="G33" s="366">
        <f>'2 MD EV Depot (Small)'!$F$120</f>
        <v>4897.8824999999997</v>
      </c>
      <c r="H33" s="366">
        <f>'2 MD EV Depot (Small)'!$G$120</f>
        <v>11727.999250000001</v>
      </c>
      <c r="I33" s="218"/>
    </row>
    <row r="34" spans="1:9" ht="15.75" x14ac:dyDescent="0.25">
      <c r="A34" s="224"/>
      <c r="B34" s="216"/>
      <c r="C34" s="189" t="s">
        <v>8</v>
      </c>
      <c r="D34" s="190"/>
      <c r="E34" s="279">
        <f>'2 MD EV Depot (Small)'!$D$121</f>
        <v>974.19274999999993</v>
      </c>
      <c r="F34" s="279">
        <f>'2 MD EV Depot (Small)'!$E$121</f>
        <v>979.57650000000012</v>
      </c>
      <c r="G34" s="279">
        <f>'2 MD EV Depot (Small)'!$F$121</f>
        <v>979.5764999999999</v>
      </c>
      <c r="H34" s="367">
        <f>'2 MD EV Depot (Small)'!$G$121</f>
        <v>977.33327083333336</v>
      </c>
      <c r="I34" s="218"/>
    </row>
    <row r="35" spans="1:9" ht="16.5" thickBot="1" x14ac:dyDescent="0.3">
      <c r="A35" s="224"/>
      <c r="B35" s="216"/>
      <c r="C35" s="193" t="s">
        <v>9</v>
      </c>
      <c r="D35" s="194"/>
      <c r="E35" s="174">
        <f>'2 MD EV Depot (Small)'!$D$122</f>
        <v>0.21352169863013695</v>
      </c>
      <c r="F35" s="174">
        <f>'2 MD EV Depot (Small)'!$E$122</f>
        <v>0.21470169863013697</v>
      </c>
      <c r="G35" s="174">
        <f>'2 MD EV Depot (Small)'!$F$122</f>
        <v>0.21470169863013694</v>
      </c>
      <c r="H35" s="174">
        <f>'2 MD EV Depot (Small)'!$G$122</f>
        <v>0.21421003196347027</v>
      </c>
      <c r="I35" s="218"/>
    </row>
    <row r="36" spans="1:9" ht="16.5" thickBot="1" x14ac:dyDescent="0.3">
      <c r="A36" s="224"/>
      <c r="B36" s="216"/>
      <c r="C36" s="157" t="s">
        <v>10</v>
      </c>
      <c r="D36" s="158"/>
      <c r="E36" s="195">
        <f>'2 MD EV Depot (Small)'!$D$124</f>
        <v>5.7233772949825928E-2</v>
      </c>
      <c r="F36" s="195">
        <f>'2 MD EV Depot (Small)'!$E$124</f>
        <v>5.6937126229505391E-2</v>
      </c>
      <c r="G36" s="195">
        <f>'2 MD EV Depot (Small)'!$F$124</f>
        <v>5.6937126229505398E-2</v>
      </c>
      <c r="H36" s="196">
        <f>'2 MD EV Depot (Small)'!$G$124</f>
        <v>5.7060354512928048E-2</v>
      </c>
      <c r="I36" s="218"/>
    </row>
    <row r="37" spans="1:9" ht="16.5" thickBot="1" x14ac:dyDescent="0.3">
      <c r="A37" s="224"/>
      <c r="B37" s="219"/>
      <c r="C37" s="220"/>
      <c r="D37" s="220"/>
      <c r="E37" s="220"/>
      <c r="F37" s="220"/>
      <c r="G37" s="220"/>
      <c r="H37" s="220"/>
      <c r="I37" s="221"/>
    </row>
    <row r="38" spans="1:9" ht="9.75" customHeight="1" x14ac:dyDescent="0.25">
      <c r="A38" s="224"/>
    </row>
    <row r="39" spans="1:9" ht="9.75" customHeight="1" thickBot="1" x14ac:dyDescent="0.3">
      <c r="A39" s="224"/>
    </row>
    <row r="40" spans="1:9" ht="18.75" x14ac:dyDescent="0.3">
      <c r="A40" s="378" t="str">
        <f>HYPERLINK('3 Transit Bus Depot'!A1,"3")</f>
        <v>3</v>
      </c>
      <c r="B40" s="212"/>
      <c r="C40" s="213" t="s">
        <v>13</v>
      </c>
      <c r="D40" s="214"/>
      <c r="E40" s="214"/>
      <c r="F40" s="214"/>
      <c r="G40" s="214"/>
      <c r="H40" s="214"/>
      <c r="I40" s="215"/>
    </row>
    <row r="41" spans="1:9" ht="16.5" thickBot="1" x14ac:dyDescent="0.3">
      <c r="A41" s="224"/>
      <c r="B41" s="216"/>
      <c r="C41" s="217"/>
      <c r="D41" s="217"/>
      <c r="E41" s="217"/>
      <c r="F41" s="217"/>
      <c r="G41" s="217"/>
      <c r="H41" s="217"/>
      <c r="I41" s="218"/>
    </row>
    <row r="42" spans="1:9" ht="16.5" thickBot="1" x14ac:dyDescent="0.3">
      <c r="A42" s="224"/>
      <c r="B42" s="216"/>
      <c r="C42" s="93" t="s">
        <v>2</v>
      </c>
      <c r="D42" s="116"/>
      <c r="E42" s="226" t="s">
        <v>3</v>
      </c>
      <c r="F42" s="225" t="s">
        <v>4</v>
      </c>
      <c r="G42" s="225" t="s">
        <v>5</v>
      </c>
      <c r="H42" s="227" t="s">
        <v>6</v>
      </c>
      <c r="I42" s="218"/>
    </row>
    <row r="43" spans="1:9" ht="16.5" thickBot="1" x14ac:dyDescent="0.3">
      <c r="A43" s="224"/>
      <c r="B43" s="216"/>
      <c r="C43" s="177" t="s">
        <v>7</v>
      </c>
      <c r="D43" s="176"/>
      <c r="E43" s="366">
        <f>'3 Transit Bus Depot'!$D$93</f>
        <v>143166.85</v>
      </c>
      <c r="F43" s="366">
        <f>'3 Transit Bus Depot'!$E$93</f>
        <v>57553.873333333337</v>
      </c>
      <c r="G43" s="366">
        <f>'3 Transit Bus Depot'!$F$93</f>
        <v>143884.68333333335</v>
      </c>
      <c r="H43" s="366">
        <f>'3 Transit Bus Depot'!$G$93</f>
        <v>344605.40666666668</v>
      </c>
      <c r="I43" s="218"/>
    </row>
    <row r="44" spans="1:9" ht="15.75" x14ac:dyDescent="0.25">
      <c r="A44" s="224"/>
      <c r="B44" s="216"/>
      <c r="C44" s="189" t="s">
        <v>8</v>
      </c>
      <c r="D44" s="190"/>
      <c r="E44" s="279">
        <f>'3 Transit Bus Depot'!$D$94</f>
        <v>28633.370000000003</v>
      </c>
      <c r="F44" s="279">
        <f>'3 Transit Bus Depot'!$E$94</f>
        <v>28776.936666666668</v>
      </c>
      <c r="G44" s="279">
        <f>'3 Transit Bus Depot'!$F$94</f>
        <v>28776.936666666668</v>
      </c>
      <c r="H44" s="367">
        <f>'3 Transit Bus Depot'!$G$94</f>
        <v>28717.117222222223</v>
      </c>
      <c r="I44" s="218"/>
    </row>
    <row r="45" spans="1:9" ht="16.5" thickBot="1" x14ac:dyDescent="0.3">
      <c r="A45" s="224"/>
      <c r="B45" s="216"/>
      <c r="C45" s="193" t="s">
        <v>9</v>
      </c>
      <c r="D45" s="194"/>
      <c r="E45" s="174">
        <f>'3 Transit Bus Depot'!$D$95</f>
        <v>0.23534276712328761</v>
      </c>
      <c r="F45" s="174">
        <f>'3 Transit Bus Depot'!$E$95</f>
        <v>0.23652276712328765</v>
      </c>
      <c r="G45" s="174">
        <f>'3 Transit Bus Depot'!$F$95</f>
        <v>0.23652276712328762</v>
      </c>
      <c r="H45" s="174">
        <f>'3 Transit Bus Depot'!$G$95</f>
        <v>0.23603110045662093</v>
      </c>
      <c r="I45" s="218"/>
    </row>
    <row r="46" spans="1:9" ht="16.5" thickBot="1" x14ac:dyDescent="0.3">
      <c r="A46" s="224"/>
      <c r="B46" s="216"/>
      <c r="C46" s="157" t="s">
        <v>10</v>
      </c>
      <c r="D46" s="158"/>
      <c r="E46" s="195">
        <f>'3 Transit Bus Depot'!$D$97</f>
        <v>-0.14768173263111475</v>
      </c>
      <c r="F46" s="195">
        <f>'3 Transit Bus Depot'!$E$97</f>
        <v>-0.14683677011392382</v>
      </c>
      <c r="G46" s="195">
        <f>'3 Transit Bus Depot'!$F$97</f>
        <v>-0.14683677011392385</v>
      </c>
      <c r="H46" s="196">
        <f>'3 Transit Bus Depot'!$G$97</f>
        <v>-0.14718765997873451</v>
      </c>
      <c r="I46" s="218"/>
    </row>
    <row r="47" spans="1:9" ht="15.75" x14ac:dyDescent="0.25">
      <c r="A47" s="224"/>
      <c r="B47" s="216"/>
      <c r="C47" s="217"/>
      <c r="D47" s="217"/>
      <c r="E47" s="217"/>
      <c r="F47" s="217"/>
      <c r="G47" s="217"/>
      <c r="H47" s="217"/>
      <c r="I47" s="218"/>
    </row>
    <row r="48" spans="1:9" ht="16.5" thickBot="1" x14ac:dyDescent="0.3">
      <c r="A48" s="224"/>
      <c r="B48" s="216"/>
      <c r="C48" s="217"/>
      <c r="D48" s="217"/>
      <c r="E48" s="217"/>
      <c r="F48" s="217"/>
      <c r="G48" s="217"/>
      <c r="H48" s="217"/>
      <c r="I48" s="218"/>
    </row>
    <row r="49" spans="1:9" ht="16.5" thickBot="1" x14ac:dyDescent="0.3">
      <c r="A49" s="224"/>
      <c r="B49" s="216"/>
      <c r="C49" s="93" t="s">
        <v>2</v>
      </c>
      <c r="D49" s="228" t="s">
        <v>11</v>
      </c>
      <c r="E49" s="229">
        <f>'3 Transit Bus Depot'!$D$99</f>
        <v>0.5</v>
      </c>
      <c r="F49" s="116"/>
      <c r="G49" s="116"/>
      <c r="H49" s="185"/>
      <c r="I49" s="218"/>
    </row>
    <row r="50" spans="1:9" ht="16.5" thickBot="1" x14ac:dyDescent="0.3">
      <c r="A50" s="224"/>
      <c r="B50" s="216"/>
      <c r="C50" s="177" t="s">
        <v>7</v>
      </c>
      <c r="D50" s="176"/>
      <c r="E50" s="366">
        <f>'3 Transit Bus Depot'!$D$120</f>
        <v>106970.27500000001</v>
      </c>
      <c r="F50" s="366">
        <f>'3 Transit Bus Depot'!$E$120</f>
        <v>43075.243333333332</v>
      </c>
      <c r="G50" s="366">
        <f>'3 Transit Bus Depot'!$F$120</f>
        <v>107688.10833333334</v>
      </c>
      <c r="H50" s="366">
        <f>'3 Transit Bus Depot'!$G$120</f>
        <v>257733.62666666668</v>
      </c>
      <c r="I50" s="218"/>
    </row>
    <row r="51" spans="1:9" ht="15.75" x14ac:dyDescent="0.25">
      <c r="A51" s="224"/>
      <c r="B51" s="216"/>
      <c r="C51" s="189" t="s">
        <v>8</v>
      </c>
      <c r="D51" s="190"/>
      <c r="E51" s="279">
        <f>'3 Transit Bus Depot'!$D$121</f>
        <v>21394.055</v>
      </c>
      <c r="F51" s="279">
        <f>'3 Transit Bus Depot'!$E$121</f>
        <v>21537.621666666666</v>
      </c>
      <c r="G51" s="279">
        <f>'3 Transit Bus Depot'!$F$121</f>
        <v>21537.621666666666</v>
      </c>
      <c r="H51" s="367">
        <f>'3 Transit Bus Depot'!$G$121</f>
        <v>21477.802222222224</v>
      </c>
      <c r="I51" s="218"/>
    </row>
    <row r="52" spans="1:9" ht="16.5" thickBot="1" x14ac:dyDescent="0.3">
      <c r="A52" s="224"/>
      <c r="B52" s="216"/>
      <c r="C52" s="193" t="s">
        <v>9</v>
      </c>
      <c r="D52" s="194"/>
      <c r="E52" s="174">
        <f>'3 Transit Bus Depot'!$D$122</f>
        <v>0.17584154794520546</v>
      </c>
      <c r="F52" s="174">
        <f>'3 Transit Bus Depot'!$E$122</f>
        <v>0.17702154794520544</v>
      </c>
      <c r="G52" s="174">
        <f>'3 Transit Bus Depot'!$F$122</f>
        <v>0.17702154794520544</v>
      </c>
      <c r="H52" s="174">
        <f>'3 Transit Bus Depot'!$G$122</f>
        <v>0.17652988127853877</v>
      </c>
      <c r="I52" s="218"/>
    </row>
    <row r="53" spans="1:9" ht="16.5" thickBot="1" x14ac:dyDescent="0.3">
      <c r="A53" s="224"/>
      <c r="B53" s="216"/>
      <c r="C53" s="157" t="s">
        <v>10</v>
      </c>
      <c r="D53" s="158"/>
      <c r="E53" s="195">
        <f>'3 Transit Bus Depot'!$D$124</f>
        <v>0.14248423743326871</v>
      </c>
      <c r="F53" s="195">
        <f>'3 Transit Bus Depot'!$E$124</f>
        <v>0.14166901243707797</v>
      </c>
      <c r="G53" s="195">
        <f>'3 Transit Bus Depot'!$F$124</f>
        <v>0.14166901243707786</v>
      </c>
      <c r="H53" s="196">
        <f>'3 Transit Bus Depot'!$G$124</f>
        <v>0.14200755312129038</v>
      </c>
      <c r="I53" s="218"/>
    </row>
    <row r="54" spans="1:9" ht="16.5" thickBot="1" x14ac:dyDescent="0.3">
      <c r="A54" s="224"/>
      <c r="B54" s="219"/>
      <c r="C54" s="220"/>
      <c r="D54" s="220"/>
      <c r="E54" s="220"/>
      <c r="F54" s="220"/>
      <c r="G54" s="220"/>
      <c r="H54" s="220"/>
      <c r="I54" s="221"/>
    </row>
    <row r="55" spans="1:9" ht="8.4499999999999993" customHeight="1" x14ac:dyDescent="0.25"/>
    <row r="56" spans="1:9" ht="7.5" customHeight="1" thickBot="1" x14ac:dyDescent="0.3"/>
    <row r="57" spans="1:9" ht="18.75" x14ac:dyDescent="0.3">
      <c r="A57" s="378" t="str">
        <f>HYPERLINK('4 School Bus Depot'!$A$1,"4")</f>
        <v>4</v>
      </c>
      <c r="B57" s="212"/>
      <c r="C57" s="213" t="s">
        <v>14</v>
      </c>
      <c r="D57" s="214"/>
      <c r="E57" s="214"/>
      <c r="F57" s="214"/>
      <c r="G57" s="214"/>
      <c r="H57" s="214"/>
      <c r="I57" s="215"/>
    </row>
    <row r="58" spans="1:9" ht="16.5" thickBot="1" x14ac:dyDescent="0.3">
      <c r="A58" s="224"/>
      <c r="B58" s="216"/>
      <c r="C58" s="217"/>
      <c r="D58" s="217"/>
      <c r="E58" s="217"/>
      <c r="F58" s="217"/>
      <c r="G58" s="217"/>
      <c r="H58" s="217"/>
      <c r="I58" s="218"/>
    </row>
    <row r="59" spans="1:9" ht="16.5" thickBot="1" x14ac:dyDescent="0.3">
      <c r="A59" s="224"/>
      <c r="B59" s="216"/>
      <c r="C59" s="93" t="s">
        <v>2</v>
      </c>
      <c r="D59" s="116"/>
      <c r="E59" s="226" t="s">
        <v>3</v>
      </c>
      <c r="F59" s="225" t="s">
        <v>4</v>
      </c>
      <c r="G59" s="225" t="s">
        <v>5</v>
      </c>
      <c r="H59" s="227" t="s">
        <v>6</v>
      </c>
      <c r="I59" s="218"/>
    </row>
    <row r="60" spans="1:9" ht="16.5" thickBot="1" x14ac:dyDescent="0.3">
      <c r="A60" s="224"/>
      <c r="B60" s="216"/>
      <c r="C60" s="177" t="s">
        <v>7</v>
      </c>
      <c r="D60" s="176"/>
      <c r="E60" s="366">
        <f>'4 School Bus Depot'!$D$93</f>
        <v>32970.234285714287</v>
      </c>
      <c r="F60" s="366">
        <f>'4 School Bus Depot'!$E$93</f>
        <v>13249.622285714286</v>
      </c>
      <c r="G60" s="366">
        <f>'4 School Bus Depot'!$F$93</f>
        <v>33124.055714285714</v>
      </c>
      <c r="H60" s="366">
        <f>'4 School Bus Depot'!$G$93</f>
        <v>79343.912285714294</v>
      </c>
      <c r="I60" s="218"/>
    </row>
    <row r="61" spans="1:9" ht="15.75" x14ac:dyDescent="0.25">
      <c r="A61" s="224"/>
      <c r="B61" s="216"/>
      <c r="C61" s="189" t="s">
        <v>8</v>
      </c>
      <c r="D61" s="190"/>
      <c r="E61" s="279">
        <f>'4 School Bus Depot'!$D$94</f>
        <v>6594.0468571428573</v>
      </c>
      <c r="F61" s="279">
        <f>'4 School Bus Depot'!$E$94</f>
        <v>6624.8111428571428</v>
      </c>
      <c r="G61" s="279">
        <f>'4 School Bus Depot'!$F$94</f>
        <v>6624.8111428571428</v>
      </c>
      <c r="H61" s="367">
        <f>'4 School Bus Depot'!$G$94</f>
        <v>6611.9926904761915</v>
      </c>
      <c r="I61" s="218"/>
    </row>
    <row r="62" spans="1:9" ht="16.5" thickBot="1" x14ac:dyDescent="0.3">
      <c r="A62" s="224"/>
      <c r="B62" s="216"/>
      <c r="C62" s="193" t="s">
        <v>9</v>
      </c>
      <c r="D62" s="194"/>
      <c r="E62" s="174">
        <f>'4 School Bus Depot'!$D$95</f>
        <v>0.2529223452054794</v>
      </c>
      <c r="F62" s="174">
        <f>'4 School Bus Depot'!$E$95</f>
        <v>0.25410234520547942</v>
      </c>
      <c r="G62" s="174">
        <f>'4 School Bus Depot'!$F$95</f>
        <v>0.25410234520547942</v>
      </c>
      <c r="H62" s="174">
        <f>'4 School Bus Depot'!$G$95</f>
        <v>0.25361067853881275</v>
      </c>
      <c r="I62" s="218"/>
    </row>
    <row r="63" spans="1:9" ht="16.5" thickBot="1" x14ac:dyDescent="0.3">
      <c r="A63" s="224"/>
      <c r="B63" s="216"/>
      <c r="C63" s="157" t="s">
        <v>10</v>
      </c>
      <c r="D63" s="158"/>
      <c r="E63" s="195">
        <f>'4 School Bus Depot'!$D$97</f>
        <v>-0.18750843036751166</v>
      </c>
      <c r="F63" s="195">
        <f>'4 School Bus Depot'!$E$97</f>
        <v>-0.18647530545094421</v>
      </c>
      <c r="G63" s="195">
        <f>'4 School Bus Depot'!$F$97</f>
        <v>-0.18647530545094435</v>
      </c>
      <c r="H63" s="196">
        <f>'4 School Bus Depot'!$G$97</f>
        <v>-0.16565357383394783</v>
      </c>
      <c r="I63" s="218"/>
    </row>
    <row r="64" spans="1:9" ht="15.75" x14ac:dyDescent="0.25">
      <c r="A64" s="224"/>
      <c r="B64" s="216"/>
      <c r="C64" s="217"/>
      <c r="D64" s="217"/>
      <c r="E64" s="217"/>
      <c r="F64" s="217"/>
      <c r="G64" s="217"/>
      <c r="H64" s="217"/>
      <c r="I64" s="218"/>
    </row>
    <row r="65" spans="1:9" ht="16.5" thickBot="1" x14ac:dyDescent="0.3">
      <c r="A65" s="224"/>
      <c r="B65" s="216"/>
      <c r="C65" s="217"/>
      <c r="D65" s="217"/>
      <c r="E65" s="217"/>
      <c r="F65" s="217"/>
      <c r="G65" s="217"/>
      <c r="H65" s="217"/>
      <c r="I65" s="218"/>
    </row>
    <row r="66" spans="1:9" ht="16.5" thickBot="1" x14ac:dyDescent="0.3">
      <c r="A66" s="224"/>
      <c r="B66" s="216"/>
      <c r="C66" s="93" t="s">
        <v>2</v>
      </c>
      <c r="D66" s="228" t="s">
        <v>11</v>
      </c>
      <c r="E66" s="229">
        <f>'4 School Bus Depot'!$D$99</f>
        <v>0.5</v>
      </c>
      <c r="F66" s="116"/>
      <c r="G66" s="116"/>
      <c r="H66" s="185"/>
      <c r="I66" s="218"/>
    </row>
    <row r="67" spans="1:9" ht="16.5" thickBot="1" x14ac:dyDescent="0.3">
      <c r="A67" s="224"/>
      <c r="B67" s="216"/>
      <c r="C67" s="177" t="s">
        <v>7</v>
      </c>
      <c r="D67" s="176"/>
      <c r="E67" s="366">
        <f>'4 School Bus Depot'!$D$120</f>
        <v>24134.859285714287</v>
      </c>
      <c r="F67" s="366">
        <f>'4 School Bus Depot'!$E$120</f>
        <v>9715.4722857142879</v>
      </c>
      <c r="G67" s="366">
        <f>'4 School Bus Depot'!$F$120</f>
        <v>24288.680714285718</v>
      </c>
      <c r="H67" s="366">
        <f>'4 School Bus Depot'!$G$120</f>
        <v>58139.012285714292</v>
      </c>
      <c r="I67" s="218"/>
    </row>
    <row r="68" spans="1:9" ht="15.75" x14ac:dyDescent="0.25">
      <c r="A68" s="224"/>
      <c r="B68" s="216"/>
      <c r="C68" s="189" t="s">
        <v>8</v>
      </c>
      <c r="D68" s="190"/>
      <c r="E68" s="279">
        <f>'4 School Bus Depot'!$D$121</f>
        <v>4826.9718571428575</v>
      </c>
      <c r="F68" s="279">
        <f>'4 School Bus Depot'!$E$121</f>
        <v>4857.7361428571439</v>
      </c>
      <c r="G68" s="279">
        <f>'4 School Bus Depot'!$F$121</f>
        <v>4857.7361428571439</v>
      </c>
      <c r="H68" s="367">
        <f>'4 School Bus Depot'!$G$121</f>
        <v>4844.9176904761907</v>
      </c>
      <c r="I68" s="218"/>
    </row>
    <row r="69" spans="1:9" ht="16.5" thickBot="1" x14ac:dyDescent="0.3">
      <c r="A69" s="224"/>
      <c r="B69" s="216"/>
      <c r="C69" s="193" t="s">
        <v>9</v>
      </c>
      <c r="D69" s="194"/>
      <c r="E69" s="174">
        <f>'4 School Bus Depot'!$D$122</f>
        <v>0.18514412602739722</v>
      </c>
      <c r="F69" s="174">
        <f>'4 School Bus Depot'!$E$122</f>
        <v>0.18632412602739726</v>
      </c>
      <c r="G69" s="174">
        <f>'4 School Bus Depot'!$F$122</f>
        <v>0.18632412602739726</v>
      </c>
      <c r="H69" s="174">
        <f>'4 School Bus Depot'!$G$122</f>
        <v>0.18583245936073059</v>
      </c>
      <c r="I69" s="218"/>
    </row>
    <row r="70" spans="1:9" ht="16.5" thickBot="1" x14ac:dyDescent="0.3">
      <c r="A70" s="224"/>
      <c r="B70" s="216"/>
      <c r="C70" s="157" t="s">
        <v>10</v>
      </c>
      <c r="D70" s="158"/>
      <c r="E70" s="195">
        <f>'4 School Bus Depot'!$D$124</f>
        <v>0.13072049718683337</v>
      </c>
      <c r="F70" s="195">
        <f>'4 School Bus Depot'!$E$124</f>
        <v>0.13000025968879059</v>
      </c>
      <c r="G70" s="195">
        <f>'4 School Bus Depot'!$F$124</f>
        <v>0.13000025968879048</v>
      </c>
      <c r="H70" s="196">
        <f>'4 School Bus Depot'!$G$124</f>
        <v>0.14587086144704123</v>
      </c>
      <c r="I70" s="218"/>
    </row>
    <row r="71" spans="1:9" ht="16.5" thickBot="1" x14ac:dyDescent="0.3">
      <c r="A71" s="224"/>
      <c r="B71" s="219"/>
      <c r="C71" s="220"/>
      <c r="D71" s="220"/>
      <c r="E71" s="220"/>
      <c r="F71" s="220"/>
      <c r="G71" s="220"/>
      <c r="H71" s="220"/>
      <c r="I71" s="221"/>
    </row>
    <row r="72" spans="1:9" ht="9.6" customHeight="1" x14ac:dyDescent="0.25">
      <c r="A72" s="224"/>
      <c r="B72" s="217"/>
      <c r="C72" s="217"/>
      <c r="D72" s="217"/>
      <c r="E72" s="217"/>
      <c r="F72" s="217"/>
      <c r="G72" s="217"/>
      <c r="H72" s="217"/>
      <c r="I72" s="217"/>
    </row>
    <row r="73" spans="1:9" ht="9.9499999999999993" customHeight="1" thickBot="1" x14ac:dyDescent="0.3"/>
    <row r="74" spans="1:9" ht="18.75" x14ac:dyDescent="0.3">
      <c r="A74" s="378" t="str">
        <f>HYPERLINK('5 DC Fast Charger'!A85,"5")</f>
        <v>5</v>
      </c>
      <c r="B74" s="212"/>
      <c r="C74" s="213" t="s">
        <v>15</v>
      </c>
      <c r="D74" s="214"/>
      <c r="E74" s="214"/>
      <c r="F74" s="214"/>
      <c r="G74" s="214"/>
      <c r="H74" s="214"/>
      <c r="I74" s="215"/>
    </row>
    <row r="75" spans="1:9" ht="15.75" thickBot="1" x14ac:dyDescent="0.3">
      <c r="A75" s="231"/>
      <c r="B75" s="216"/>
      <c r="C75" s="217"/>
      <c r="D75" s="217"/>
      <c r="E75" s="217"/>
      <c r="F75" s="217"/>
      <c r="G75" s="217"/>
      <c r="H75" s="217"/>
      <c r="I75" s="218"/>
    </row>
    <row r="76" spans="1:9" ht="16.5" thickBot="1" x14ac:dyDescent="0.3">
      <c r="A76" s="223"/>
      <c r="B76" s="216"/>
      <c r="C76" s="93" t="s">
        <v>2</v>
      </c>
      <c r="D76" s="116"/>
      <c r="E76" s="226" t="s">
        <v>3</v>
      </c>
      <c r="F76" s="225" t="s">
        <v>4</v>
      </c>
      <c r="G76" s="225" t="s">
        <v>5</v>
      </c>
      <c r="H76" s="227" t="s">
        <v>6</v>
      </c>
      <c r="I76" s="218"/>
    </row>
    <row r="77" spans="1:9" ht="15.75" thickBot="1" x14ac:dyDescent="0.3">
      <c r="A77" s="231"/>
      <c r="B77" s="216"/>
      <c r="C77" s="177" t="s">
        <v>7</v>
      </c>
      <c r="D77" s="176"/>
      <c r="E77" s="366">
        <f>'5 DC Fast Charger'!$D$87</f>
        <v>109235.48358157657</v>
      </c>
      <c r="F77" s="366">
        <f>'5 DC Fast Charger'!$E$87</f>
        <v>41958.464680563491</v>
      </c>
      <c r="G77" s="366">
        <f>'5 DC Fast Charger'!$F$87</f>
        <v>105768.87827129115</v>
      </c>
      <c r="H77" s="366">
        <f>'5 DC Fast Charger'!$G$87</f>
        <v>256962.82653343122</v>
      </c>
      <c r="I77" s="218"/>
    </row>
    <row r="78" spans="1:9" ht="15.75" x14ac:dyDescent="0.25">
      <c r="A78" s="224"/>
      <c r="B78" s="216"/>
      <c r="C78" s="189" t="s">
        <v>8</v>
      </c>
      <c r="D78" s="190"/>
      <c r="E78" s="279">
        <f>'5 DC Fast Charger'!$D$88</f>
        <v>21847.096716315315</v>
      </c>
      <c r="F78" s="279">
        <f>'5 DC Fast Charger'!$E$88</f>
        <v>20979.232340281746</v>
      </c>
      <c r="G78" s="279">
        <f>'5 DC Fast Charger'!$F$88</f>
        <v>21153.775654258228</v>
      </c>
      <c r="H78" s="367">
        <f>'5 DC Fast Charger'!$G$88</f>
        <v>21413.568877785936</v>
      </c>
      <c r="I78" s="218"/>
    </row>
    <row r="79" spans="1:9" ht="16.5" thickBot="1" x14ac:dyDescent="0.3">
      <c r="A79" s="224"/>
      <c r="B79" s="216"/>
      <c r="C79" s="193" t="s">
        <v>9</v>
      </c>
      <c r="D79" s="194"/>
      <c r="E79" s="174">
        <f>'5 DC Fast Charger'!$D$89</f>
        <v>0.25652168355751837</v>
      </c>
      <c r="F79" s="174">
        <f>'5 DC Fast Charger'!$E$89</f>
        <v>0.23912001016678558</v>
      </c>
      <c r="G79" s="174">
        <f>'5 DC Fast Charger'!$F$89</f>
        <v>0.24838092744725904</v>
      </c>
      <c r="H79" s="174">
        <f>'5 DC Fast Charger'!$G$89</f>
        <v>0.25017386180411794</v>
      </c>
      <c r="I79" s="218"/>
    </row>
    <row r="80" spans="1:9" ht="16.5" thickBot="1" x14ac:dyDescent="0.3">
      <c r="A80" s="224"/>
      <c r="B80" s="216"/>
      <c r="C80" s="157" t="s">
        <v>10</v>
      </c>
      <c r="D80" s="158"/>
      <c r="E80" s="195">
        <f>'5 DC Fast Charger'!$D$90</f>
        <v>-0.23027034707615079</v>
      </c>
      <c r="F80" s="195">
        <f>'5 DC Fast Charger'!$E$90</f>
        <v>-0.19940424229540168</v>
      </c>
      <c r="G80" s="195">
        <f>'5 DC Fast Charger'!$F$90</f>
        <v>-0.23102104083295227</v>
      </c>
      <c r="H80" s="196">
        <f>'5 DC Fast Charger'!$G$90</f>
        <v>-0.22542857425282492</v>
      </c>
      <c r="I80" s="218"/>
    </row>
    <row r="81" spans="1:9" ht="15.75" x14ac:dyDescent="0.25">
      <c r="A81" s="224"/>
      <c r="B81" s="216"/>
      <c r="C81" s="217"/>
      <c r="D81" s="217"/>
      <c r="E81" s="217"/>
      <c r="F81" s="217"/>
      <c r="G81" s="217"/>
      <c r="H81" s="217"/>
      <c r="I81" s="218"/>
    </row>
    <row r="82" spans="1:9" ht="15.75" thickBot="1" x14ac:dyDescent="0.3">
      <c r="A82" s="231"/>
      <c r="B82" s="216"/>
      <c r="C82" s="217"/>
      <c r="D82" s="217"/>
      <c r="E82" s="217"/>
      <c r="F82" s="217"/>
      <c r="G82" s="217"/>
      <c r="H82" s="217"/>
      <c r="I82" s="218"/>
    </row>
    <row r="83" spans="1:9" ht="16.5" thickBot="1" x14ac:dyDescent="0.3">
      <c r="A83" s="224"/>
      <c r="B83" s="216"/>
      <c r="C83" s="93" t="s">
        <v>2</v>
      </c>
      <c r="D83" s="228" t="s">
        <v>11</v>
      </c>
      <c r="E83" s="229">
        <f>'5 DC Fast Charger'!$D$93</f>
        <v>0.5</v>
      </c>
      <c r="F83" s="116"/>
      <c r="G83" s="116"/>
      <c r="H83" s="185"/>
      <c r="I83" s="218"/>
    </row>
    <row r="84" spans="1:9" ht="16.5" thickBot="1" x14ac:dyDescent="0.3">
      <c r="A84" s="224"/>
      <c r="B84" s="216"/>
      <c r="C84" s="177" t="s">
        <v>7</v>
      </c>
      <c r="D84" s="176"/>
      <c r="E84" s="366">
        <f>'5 DC Fast Charger'!$D$114</f>
        <v>100400.10858157657</v>
      </c>
      <c r="F84" s="366">
        <f>'5 DC Fast Charger'!$E$114</f>
        <v>38424.314680563482</v>
      </c>
      <c r="G84" s="366">
        <f>'5 DC Fast Charger'!$F$114</f>
        <v>96933.503271291149</v>
      </c>
      <c r="H84" s="366">
        <f>'5 DC Fast Charger'!$G$114</f>
        <v>235757.92653343119</v>
      </c>
      <c r="I84" s="218"/>
    </row>
    <row r="85" spans="1:9" ht="15.75" x14ac:dyDescent="0.25">
      <c r="A85" s="224"/>
      <c r="B85" s="216"/>
      <c r="C85" s="189" t="s">
        <v>8</v>
      </c>
      <c r="D85" s="190"/>
      <c r="E85" s="279">
        <f>'5 DC Fast Charger'!$D$115</f>
        <v>20080.021716315314</v>
      </c>
      <c r="F85" s="279">
        <f>'5 DC Fast Charger'!$E$115</f>
        <v>19212.157340281741</v>
      </c>
      <c r="G85" s="279">
        <f>'5 DC Fast Charger'!$F$115</f>
        <v>19386.700654258231</v>
      </c>
      <c r="H85" s="367">
        <f>'5 DC Fast Charger'!$G$115</f>
        <v>19646.493877785932</v>
      </c>
      <c r="I85" s="218"/>
    </row>
    <row r="86" spans="1:9" ht="16.5" thickBot="1" x14ac:dyDescent="0.3">
      <c r="A86" s="224"/>
      <c r="B86" s="216"/>
      <c r="C86" s="193" t="s">
        <v>9</v>
      </c>
      <c r="D86" s="194"/>
      <c r="E86" s="174">
        <f>'5 DC Fast Charger'!$D$116</f>
        <v>0.23577324911524827</v>
      </c>
      <c r="F86" s="174">
        <f>'5 DC Fast Charger'!$E$116</f>
        <v>0.21897899713485691</v>
      </c>
      <c r="G86" s="174">
        <f>'5 DC Fast Charger'!$F$116</f>
        <v>0.22763249300498897</v>
      </c>
      <c r="H86" s="174">
        <f>'5 DC Fast Charger'!$G$116</f>
        <v>0.22952919582757847</v>
      </c>
      <c r="I86" s="218"/>
    </row>
    <row r="87" spans="1:9" ht="15.75" thickBot="1" x14ac:dyDescent="0.3">
      <c r="A87" s="231"/>
      <c r="B87" s="216"/>
      <c r="C87" s="157" t="s">
        <v>10</v>
      </c>
      <c r="D87" s="158"/>
      <c r="E87" s="195">
        <f>'5 DC Fast Charger'!$D$117</f>
        <v>-0.13076147403051291</v>
      </c>
      <c r="F87" s="195">
        <f>'5 DC Fast Charger'!$E$117</f>
        <v>-9.8378751129804057E-2</v>
      </c>
      <c r="G87" s="195">
        <f>'5 DC Fast Charger'!$F$117</f>
        <v>-0.1281880269406071</v>
      </c>
      <c r="H87" s="196">
        <f>'5 DC Fast Charger'!$G$117</f>
        <v>-0.12430464623285883</v>
      </c>
      <c r="I87" s="218"/>
    </row>
    <row r="88" spans="1:9" ht="16.5" thickBot="1" x14ac:dyDescent="0.3">
      <c r="A88" s="224"/>
      <c r="B88" s="219"/>
      <c r="C88" s="220"/>
      <c r="D88" s="220"/>
      <c r="E88" s="220"/>
      <c r="F88" s="220"/>
      <c r="G88" s="220"/>
      <c r="H88" s="220"/>
      <c r="I88" s="221"/>
    </row>
  </sheetData>
  <pageMargins left="0.45" right="0.45" top="0.5" bottom="0.5" header="0.3" footer="0.3"/>
  <pageSetup scale="55" orientation="portrait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Q28"/>
  <sheetViews>
    <sheetView zoomScale="80" zoomScaleNormal="80" workbookViewId="0">
      <selection activeCell="I8" sqref="I8"/>
    </sheetView>
  </sheetViews>
  <sheetFormatPr defaultRowHeight="15" x14ac:dyDescent="0.25"/>
  <cols>
    <col min="1" max="1" width="2.28515625" customWidth="1"/>
    <col min="2" max="2" width="29.42578125" customWidth="1"/>
    <col min="3" max="3" width="22" customWidth="1"/>
    <col min="4" max="4" width="4.140625" customWidth="1"/>
    <col min="5" max="5" width="21.140625" customWidth="1"/>
    <col min="6" max="6" width="3.140625" customWidth="1"/>
    <col min="7" max="7" width="41.7109375" customWidth="1"/>
    <col min="8" max="8" width="41.5703125" customWidth="1"/>
    <col min="9" max="9" width="14" customWidth="1"/>
    <col min="10" max="10" width="2.28515625" customWidth="1"/>
    <col min="11" max="11" width="32.28515625" customWidth="1"/>
    <col min="12" max="12" width="16.85546875" customWidth="1"/>
    <col min="13" max="13" width="3" customWidth="1"/>
    <col min="14" max="14" width="21.85546875" customWidth="1"/>
    <col min="15" max="15" width="20.42578125" bestFit="1" customWidth="1"/>
    <col min="16" max="16" width="9.42578125" bestFit="1" customWidth="1"/>
    <col min="17" max="18" width="11.140625" bestFit="1" customWidth="1"/>
    <col min="20" max="20" width="17.140625" customWidth="1"/>
    <col min="21" max="24" width="9.85546875" customWidth="1"/>
  </cols>
  <sheetData>
    <row r="1" spans="2:16" x14ac:dyDescent="0.25">
      <c r="B1" s="2"/>
    </row>
    <row r="2" spans="2:16" ht="15.75" thickBot="1" x14ac:dyDescent="0.3">
      <c r="K2" s="10"/>
      <c r="L2" s="10"/>
      <c r="M2" s="10"/>
      <c r="N2" s="10"/>
    </row>
    <row r="3" spans="2:16" ht="18.75" x14ac:dyDescent="0.3">
      <c r="B3" s="398" t="s">
        <v>16</v>
      </c>
      <c r="C3" s="399"/>
      <c r="D3" s="399"/>
      <c r="E3" s="400"/>
      <c r="F3" s="11"/>
      <c r="G3" s="401" t="s">
        <v>17</v>
      </c>
      <c r="H3" s="402"/>
      <c r="I3" s="403"/>
      <c r="K3" s="10"/>
      <c r="L3" s="10"/>
      <c r="M3" s="10"/>
      <c r="N3" s="10"/>
    </row>
    <row r="4" spans="2:16" x14ac:dyDescent="0.25">
      <c r="B4" s="407" t="s">
        <v>18</v>
      </c>
      <c r="C4" s="408"/>
      <c r="D4" s="408"/>
      <c r="E4" s="409"/>
      <c r="F4" s="11"/>
      <c r="G4" s="404" t="s">
        <v>18</v>
      </c>
      <c r="H4" s="405"/>
      <c r="I4" s="406"/>
      <c r="K4" s="10"/>
      <c r="L4" s="10"/>
      <c r="M4" s="10"/>
      <c r="N4" s="10"/>
    </row>
    <row r="5" spans="2:16" x14ac:dyDescent="0.25">
      <c r="B5" s="393"/>
      <c r="C5" s="394"/>
      <c r="D5" s="394"/>
      <c r="E5" s="395"/>
      <c r="F5" s="11"/>
      <c r="G5" s="390"/>
      <c r="H5" s="391"/>
      <c r="I5" s="392"/>
      <c r="K5" s="10"/>
      <c r="L5" s="10"/>
      <c r="M5" s="10"/>
      <c r="N5" s="10"/>
    </row>
    <row r="6" spans="2:16" x14ac:dyDescent="0.25">
      <c r="B6" s="80" t="s">
        <v>19</v>
      </c>
      <c r="C6" s="81" t="s">
        <v>20</v>
      </c>
      <c r="D6" s="81"/>
      <c r="E6" s="82" t="s">
        <v>21</v>
      </c>
      <c r="F6" s="11"/>
      <c r="G6" s="63" t="s">
        <v>19</v>
      </c>
      <c r="H6" s="64" t="s">
        <v>20</v>
      </c>
      <c r="I6" s="65" t="s">
        <v>22</v>
      </c>
      <c r="K6" s="10"/>
      <c r="L6" s="10"/>
      <c r="M6" s="10"/>
      <c r="N6" s="10"/>
    </row>
    <row r="7" spans="2:16" x14ac:dyDescent="0.25">
      <c r="B7" s="7" t="s">
        <v>23</v>
      </c>
      <c r="C7" s="9"/>
      <c r="D7" s="9"/>
      <c r="E7" s="83"/>
      <c r="F7" s="11"/>
      <c r="G7" s="69" t="s">
        <v>24</v>
      </c>
      <c r="H7" s="67" t="s">
        <v>25</v>
      </c>
      <c r="I7" s="68">
        <v>186.304</v>
      </c>
      <c r="K7" s="10"/>
      <c r="L7" s="10"/>
      <c r="M7" s="10"/>
      <c r="N7" s="10"/>
    </row>
    <row r="8" spans="2:16" x14ac:dyDescent="0.25">
      <c r="B8" s="7" t="s">
        <v>26</v>
      </c>
      <c r="C8" s="84" t="s">
        <v>25</v>
      </c>
      <c r="D8" s="84"/>
      <c r="E8" s="83">
        <v>101.56</v>
      </c>
      <c r="F8" s="11"/>
      <c r="G8" s="69" t="s">
        <v>27</v>
      </c>
      <c r="H8" s="67" t="s">
        <v>25</v>
      </c>
      <c r="I8" s="68">
        <v>744.64</v>
      </c>
      <c r="K8" s="10"/>
      <c r="L8" s="10"/>
      <c r="M8" s="10"/>
      <c r="N8" s="10"/>
    </row>
    <row r="9" spans="2:16" ht="30" x14ac:dyDescent="0.25">
      <c r="B9" s="7" t="s">
        <v>28</v>
      </c>
      <c r="C9" s="396" t="s">
        <v>29</v>
      </c>
      <c r="D9" s="84"/>
      <c r="E9" s="83">
        <v>101.56</v>
      </c>
      <c r="F9" s="11"/>
      <c r="G9" s="69"/>
      <c r="H9" s="67"/>
      <c r="I9" s="68"/>
      <c r="K9" s="10"/>
      <c r="L9" s="10"/>
      <c r="M9" s="10"/>
      <c r="N9" s="10"/>
    </row>
    <row r="10" spans="2:16" x14ac:dyDescent="0.25">
      <c r="B10" s="85"/>
      <c r="C10" s="9"/>
      <c r="D10" s="9"/>
      <c r="E10" s="86"/>
      <c r="F10" s="11"/>
      <c r="G10" s="69" t="s">
        <v>30</v>
      </c>
      <c r="H10" s="67" t="s">
        <v>31</v>
      </c>
      <c r="I10" s="68">
        <v>114</v>
      </c>
      <c r="K10" s="10"/>
      <c r="L10" s="10"/>
      <c r="M10" s="10"/>
      <c r="N10" s="10"/>
    </row>
    <row r="11" spans="2:16" x14ac:dyDescent="0.25">
      <c r="B11" s="7" t="s">
        <v>32</v>
      </c>
      <c r="C11" s="5"/>
      <c r="D11" s="5"/>
      <c r="E11" s="83"/>
      <c r="F11" s="11"/>
      <c r="G11" s="69" t="s">
        <v>33</v>
      </c>
      <c r="H11" s="67" t="s">
        <v>34</v>
      </c>
      <c r="I11" s="68">
        <v>228.01</v>
      </c>
      <c r="K11" s="10"/>
      <c r="L11" s="10"/>
      <c r="M11" s="10"/>
      <c r="N11" s="10"/>
    </row>
    <row r="12" spans="2:16" x14ac:dyDescent="0.25">
      <c r="B12" s="87" t="s">
        <v>35</v>
      </c>
      <c r="C12" s="8" t="s">
        <v>36</v>
      </c>
      <c r="D12" s="8"/>
      <c r="E12" s="88">
        <v>0</v>
      </c>
      <c r="F12" s="11"/>
      <c r="G12" s="66"/>
      <c r="H12" s="70"/>
      <c r="I12" s="68"/>
      <c r="K12" s="10"/>
      <c r="L12" s="10"/>
      <c r="M12" s="10"/>
      <c r="N12" s="10"/>
    </row>
    <row r="13" spans="2:16" x14ac:dyDescent="0.25">
      <c r="B13" s="87" t="s">
        <v>37</v>
      </c>
      <c r="C13" s="8" t="s">
        <v>36</v>
      </c>
      <c r="D13" s="84"/>
      <c r="E13" s="83">
        <v>0</v>
      </c>
      <c r="F13" s="11"/>
      <c r="G13" s="71" t="s">
        <v>38</v>
      </c>
      <c r="H13" s="72" t="s">
        <v>36</v>
      </c>
      <c r="I13" s="68">
        <v>4.68</v>
      </c>
      <c r="K13" s="10"/>
      <c r="L13" s="10"/>
      <c r="M13" s="10"/>
      <c r="N13" s="10"/>
    </row>
    <row r="14" spans="2:16" x14ac:dyDescent="0.25">
      <c r="B14" s="87" t="s">
        <v>39</v>
      </c>
      <c r="C14" s="8" t="s">
        <v>36</v>
      </c>
      <c r="D14" s="84"/>
      <c r="E14" s="83">
        <v>2.2200000000000002</v>
      </c>
      <c r="F14" s="11"/>
      <c r="G14" s="71" t="s">
        <v>40</v>
      </c>
      <c r="H14" s="73" t="s">
        <v>41</v>
      </c>
      <c r="I14" s="68">
        <v>1.88</v>
      </c>
      <c r="K14" s="10"/>
      <c r="L14" s="10"/>
      <c r="M14" s="10"/>
      <c r="N14" s="10"/>
    </row>
    <row r="15" spans="2:16" x14ac:dyDescent="0.25">
      <c r="B15" s="85"/>
      <c r="C15" s="84"/>
      <c r="D15" s="84"/>
      <c r="E15" s="86"/>
      <c r="F15" s="11"/>
      <c r="G15" s="66"/>
      <c r="H15" s="70"/>
      <c r="I15" s="68"/>
      <c r="K15" s="10"/>
      <c r="L15" s="10"/>
      <c r="M15" s="10"/>
      <c r="N15" s="10"/>
    </row>
    <row r="16" spans="2:16" x14ac:dyDescent="0.25">
      <c r="B16" s="7" t="s">
        <v>42</v>
      </c>
      <c r="C16" s="8" t="s">
        <v>36</v>
      </c>
      <c r="D16" s="5"/>
      <c r="E16" s="88">
        <v>4.68</v>
      </c>
      <c r="F16" s="11"/>
      <c r="G16" s="71" t="s">
        <v>43</v>
      </c>
      <c r="H16" s="74"/>
      <c r="I16" s="68"/>
      <c r="K16" s="10"/>
      <c r="L16" s="10"/>
      <c r="M16" s="10"/>
      <c r="N16" s="10"/>
      <c r="O16" s="3"/>
      <c r="P16" s="3"/>
    </row>
    <row r="17" spans="2:17" x14ac:dyDescent="0.25">
      <c r="B17" s="7" t="s">
        <v>44</v>
      </c>
      <c r="C17" s="5" t="s">
        <v>41</v>
      </c>
      <c r="D17" s="5"/>
      <c r="E17" s="88">
        <v>1.88</v>
      </c>
      <c r="F17" s="11"/>
      <c r="G17" s="75" t="s">
        <v>45</v>
      </c>
      <c r="H17" s="72" t="s">
        <v>41</v>
      </c>
      <c r="I17" s="76">
        <v>0.39350000000000002</v>
      </c>
      <c r="K17" s="10"/>
      <c r="L17" s="10"/>
      <c r="M17" s="10"/>
      <c r="N17" s="10"/>
      <c r="O17" s="3"/>
      <c r="P17" s="3"/>
      <c r="Q17" s="4"/>
    </row>
    <row r="18" spans="2:17" x14ac:dyDescent="0.25">
      <c r="B18" s="85"/>
      <c r="C18" s="84"/>
      <c r="D18" s="84"/>
      <c r="E18" s="86"/>
      <c r="F18" s="11"/>
      <c r="G18" s="75" t="s">
        <v>46</v>
      </c>
      <c r="H18" s="72" t="s">
        <v>41</v>
      </c>
      <c r="I18" s="76">
        <v>0.16131999999999999</v>
      </c>
      <c r="K18" s="10"/>
      <c r="L18" s="10"/>
      <c r="M18" s="10"/>
      <c r="N18" s="10"/>
      <c r="O18" s="3"/>
      <c r="P18" s="3"/>
    </row>
    <row r="19" spans="2:17" x14ac:dyDescent="0.25">
      <c r="B19" s="7" t="s">
        <v>47</v>
      </c>
      <c r="C19" s="8"/>
      <c r="D19" s="8"/>
      <c r="E19" s="88"/>
      <c r="F19" s="11"/>
      <c r="G19" s="75" t="s">
        <v>48</v>
      </c>
      <c r="H19" s="72" t="s">
        <v>41</v>
      </c>
      <c r="I19" s="76">
        <v>0.11022</v>
      </c>
      <c r="K19" s="10"/>
      <c r="L19" s="10"/>
      <c r="M19" s="10"/>
      <c r="N19" s="10"/>
      <c r="O19" s="3"/>
      <c r="P19" s="3"/>
    </row>
    <row r="20" spans="2:17" x14ac:dyDescent="0.25">
      <c r="B20" s="87" t="s">
        <v>45</v>
      </c>
      <c r="C20" s="8" t="s">
        <v>41</v>
      </c>
      <c r="D20" s="8"/>
      <c r="E20" s="89">
        <v>0.21716000000000002</v>
      </c>
      <c r="F20" s="11"/>
      <c r="G20" s="71" t="s">
        <v>49</v>
      </c>
      <c r="H20" s="72"/>
      <c r="I20" s="76"/>
      <c r="K20" s="10"/>
      <c r="L20" s="10"/>
      <c r="M20" s="10"/>
      <c r="N20" s="10"/>
      <c r="O20" s="3"/>
      <c r="P20" s="3"/>
    </row>
    <row r="21" spans="2:17" x14ac:dyDescent="0.25">
      <c r="B21" s="87" t="s">
        <v>46</v>
      </c>
      <c r="C21" s="8" t="s">
        <v>41</v>
      </c>
      <c r="D21" s="8"/>
      <c r="E21" s="89">
        <v>0.19613</v>
      </c>
      <c r="F21" s="11"/>
      <c r="G21" s="75" t="s">
        <v>45</v>
      </c>
      <c r="H21" s="72" t="s">
        <v>41</v>
      </c>
      <c r="I21" s="76">
        <v>0.37369000000000002</v>
      </c>
      <c r="K21" s="127"/>
      <c r="L21" s="127"/>
      <c r="M21" s="127"/>
      <c r="N21" s="127"/>
      <c r="O21" s="217"/>
    </row>
    <row r="22" spans="2:17" x14ac:dyDescent="0.25">
      <c r="B22" s="87" t="s">
        <v>48</v>
      </c>
      <c r="C22" s="8" t="s">
        <v>41</v>
      </c>
      <c r="D22" s="8"/>
      <c r="E22" s="89">
        <v>0.17503000000000002</v>
      </c>
      <c r="F22" s="11"/>
      <c r="G22" s="75" t="s">
        <v>46</v>
      </c>
      <c r="H22" s="72" t="s">
        <v>41</v>
      </c>
      <c r="I22" s="76">
        <v>0.1552</v>
      </c>
      <c r="K22" s="127"/>
      <c r="L22" s="127"/>
      <c r="M22" s="127"/>
      <c r="N22" s="127"/>
      <c r="O22" s="217"/>
    </row>
    <row r="23" spans="2:17" ht="15.75" thickBot="1" x14ac:dyDescent="0.3">
      <c r="B23" s="7" t="s">
        <v>50</v>
      </c>
      <c r="C23" s="8"/>
      <c r="D23" s="8"/>
      <c r="E23" s="86"/>
      <c r="F23" s="11"/>
      <c r="G23" s="77" t="s">
        <v>48</v>
      </c>
      <c r="H23" s="78" t="s">
        <v>41</v>
      </c>
      <c r="I23" s="79">
        <v>0.1114</v>
      </c>
    </row>
    <row r="24" spans="2:17" ht="15.75" thickBot="1" x14ac:dyDescent="0.3">
      <c r="B24" s="87" t="s">
        <v>45</v>
      </c>
      <c r="C24" s="8" t="s">
        <v>41</v>
      </c>
      <c r="D24" s="8"/>
      <c r="E24" s="89">
        <v>0.20246</v>
      </c>
      <c r="F24" s="11"/>
      <c r="G24" s="248"/>
      <c r="H24" s="249"/>
      <c r="I24" s="250"/>
    </row>
    <row r="25" spans="2:17" x14ac:dyDescent="0.25">
      <c r="B25" s="87" t="s">
        <v>46</v>
      </c>
      <c r="C25" s="8" t="s">
        <v>41</v>
      </c>
      <c r="D25" s="8"/>
      <c r="E25" s="89">
        <v>0.19001000000000001</v>
      </c>
      <c r="F25" s="11"/>
      <c r="G25" s="52" t="s">
        <v>51</v>
      </c>
      <c r="H25" s="53"/>
      <c r="I25" s="54" t="s">
        <v>52</v>
      </c>
    </row>
    <row r="26" spans="2:17" ht="15.75" thickBot="1" x14ac:dyDescent="0.3">
      <c r="B26" s="90" t="s">
        <v>48</v>
      </c>
      <c r="C26" s="91" t="s">
        <v>41</v>
      </c>
      <c r="D26" s="91"/>
      <c r="E26" s="92">
        <v>0.17621000000000001</v>
      </c>
      <c r="G26" s="55" t="s">
        <v>3</v>
      </c>
      <c r="H26" s="56"/>
      <c r="I26" s="57">
        <v>5</v>
      </c>
    </row>
    <row r="27" spans="2:17" x14ac:dyDescent="0.25">
      <c r="G27" s="58" t="s">
        <v>5</v>
      </c>
      <c r="H27" s="59"/>
      <c r="I27" s="57">
        <v>5</v>
      </c>
    </row>
    <row r="28" spans="2:17" ht="15.75" thickBot="1" x14ac:dyDescent="0.3">
      <c r="G28" s="60" t="s">
        <v>4</v>
      </c>
      <c r="H28" s="61"/>
      <c r="I28" s="62">
        <v>2</v>
      </c>
    </row>
  </sheetData>
  <mergeCells count="4">
    <mergeCell ref="B3:E3"/>
    <mergeCell ref="G3:I3"/>
    <mergeCell ref="G4:I4"/>
    <mergeCell ref="B4:E4"/>
  </mergeCells>
  <pageMargins left="0.45" right="0.45" top="0.5" bottom="0.5" header="0.3" footer="0.3"/>
  <pageSetup scale="72" fitToHeight="2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B1:BU125"/>
  <sheetViews>
    <sheetView topLeftCell="A8" zoomScale="60" zoomScaleNormal="60" workbookViewId="0">
      <selection activeCell="J62" sqref="J62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8" width="9.7109375" style="10" customWidth="1"/>
    <col min="9" max="9" width="2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27"/>
    </row>
    <row r="2" spans="2:62" ht="15" customHeight="1" x14ac:dyDescent="0.25">
      <c r="B2" s="353" t="s">
        <v>55</v>
      </c>
      <c r="C2" s="122"/>
      <c r="D2" s="374">
        <f>D12/D10/D8/D4</f>
        <v>50.000000000000014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  <c r="AI2" s="363"/>
    </row>
    <row r="3" spans="2:62" ht="15" customHeight="1" x14ac:dyDescent="0.25">
      <c r="B3" s="123" t="s">
        <v>57</v>
      </c>
      <c r="C3" s="124"/>
      <c r="D3" s="357">
        <f>(D2*D11)/D5</f>
        <v>3.5000000000000009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AI3" s="127"/>
      <c r="BG3" s="126"/>
    </row>
    <row r="4" spans="2:62" ht="15" customHeight="1" x14ac:dyDescent="0.25">
      <c r="B4" s="123" t="s">
        <v>59</v>
      </c>
      <c r="C4" s="124"/>
      <c r="D4" s="254">
        <v>20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  <c r="AI4" s="127"/>
    </row>
    <row r="5" spans="2:62" ht="15" customHeight="1" x14ac:dyDescent="0.25">
      <c r="B5" s="123" t="s">
        <v>60</v>
      </c>
      <c r="C5" s="124"/>
      <c r="D5" s="254">
        <v>20</v>
      </c>
      <c r="E5" s="108"/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AI5" s="127"/>
      <c r="BG5" s="17"/>
      <c r="BJ5" s="12"/>
    </row>
    <row r="6" spans="2:62" ht="15" customHeight="1" x14ac:dyDescent="0.25">
      <c r="B6" s="123" t="s">
        <v>62</v>
      </c>
      <c r="C6" s="124"/>
      <c r="D6" s="254">
        <f>D5*D4</f>
        <v>400</v>
      </c>
      <c r="F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7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0.1041666666666667</v>
      </c>
      <c r="F7" s="108"/>
      <c r="J7" s="129" t="s">
        <v>64</v>
      </c>
      <c r="K7" s="113">
        <f>P35</f>
        <v>400</v>
      </c>
      <c r="L7" s="113">
        <f>P36</f>
        <v>400</v>
      </c>
      <c r="M7" s="113">
        <f>P37</f>
        <v>400</v>
      </c>
      <c r="N7" s="113">
        <f>P38</f>
        <v>200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AI7" s="306"/>
      <c r="BG7" s="16"/>
    </row>
    <row r="8" spans="2:62" ht="15" customHeight="1" thickBot="1" x14ac:dyDescent="0.3">
      <c r="B8" s="123" t="s">
        <v>65</v>
      </c>
      <c r="C8" s="124"/>
      <c r="D8" s="254">
        <v>5</v>
      </c>
      <c r="E8" s="108"/>
      <c r="K8" s="209"/>
      <c r="AI8" s="127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AI9" s="363"/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E10" s="108"/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AI10" s="127"/>
      <c r="BG10" s="137"/>
    </row>
    <row r="11" spans="2:62" ht="15" customHeight="1" x14ac:dyDescent="0.25">
      <c r="B11" s="123" t="s">
        <v>69</v>
      </c>
      <c r="C11" s="124"/>
      <c r="D11" s="255">
        <v>1.4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  <c r="AI11" s="127"/>
    </row>
    <row r="12" spans="2:62" ht="15" customHeight="1" thickBot="1" x14ac:dyDescent="0.3">
      <c r="B12" s="354" t="s">
        <v>70</v>
      </c>
      <c r="C12" s="355"/>
      <c r="D12" s="356">
        <f>(K49/D11)/12</f>
        <v>21726.190476190484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  <c r="AI12" s="127"/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7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  <c r="AI14" s="306"/>
    </row>
    <row r="15" spans="2:62" ht="15" customHeight="1" thickBot="1" x14ac:dyDescent="0.3">
      <c r="B15" s="138" t="s">
        <v>73</v>
      </c>
      <c r="C15" s="139"/>
      <c r="D15" s="258">
        <f>12-D13-D14</f>
        <v>5</v>
      </c>
      <c r="AI15" s="127"/>
    </row>
    <row r="16" spans="2:62" ht="15" customHeight="1" thickBot="1" x14ac:dyDescent="0.3">
      <c r="B16" s="140" t="s">
        <v>74</v>
      </c>
      <c r="C16" s="141"/>
      <c r="D16" s="265">
        <v>0.5</v>
      </c>
      <c r="J16" s="21" t="s">
        <v>75</v>
      </c>
      <c r="AI16" s="127"/>
    </row>
    <row r="17" spans="2:35" ht="15" customHeight="1" thickBot="1" x14ac:dyDescent="0.3">
      <c r="B17" s="143" t="s">
        <v>76</v>
      </c>
      <c r="C17" s="144"/>
      <c r="D17" s="260">
        <v>8</v>
      </c>
      <c r="E17" s="10" t="s">
        <v>77</v>
      </c>
      <c r="J17" s="186" t="s">
        <v>3</v>
      </c>
      <c r="AI17" s="127"/>
    </row>
    <row r="18" spans="2:35" ht="15" customHeight="1" thickBot="1" x14ac:dyDescent="0.3">
      <c r="B18" s="143" t="s">
        <v>78</v>
      </c>
      <c r="C18" s="144"/>
      <c r="D18" s="261" t="s">
        <v>79</v>
      </c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0</v>
      </c>
      <c r="AB18" s="309">
        <f t="shared" si="0"/>
        <v>0</v>
      </c>
      <c r="AC18" s="309">
        <f t="shared" si="0"/>
        <v>0</v>
      </c>
      <c r="AD18" s="309">
        <f t="shared" si="0"/>
        <v>0</v>
      </c>
      <c r="AE18" s="309">
        <f t="shared" si="0"/>
        <v>0</v>
      </c>
      <c r="AF18" s="308"/>
      <c r="AG18" s="308"/>
      <c r="AH18" s="361"/>
      <c r="AI18" s="127"/>
    </row>
    <row r="19" spans="2:35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0</v>
      </c>
      <c r="R19" s="310">
        <f t="shared" ref="R19:X19" si="1">R$7*5</f>
        <v>0</v>
      </c>
      <c r="S19" s="310">
        <f t="shared" si="1"/>
        <v>0</v>
      </c>
      <c r="T19" s="310">
        <f t="shared" si="1"/>
        <v>0</v>
      </c>
      <c r="U19" s="310">
        <f t="shared" si="1"/>
        <v>0</v>
      </c>
      <c r="V19" s="310">
        <f t="shared" si="1"/>
        <v>0</v>
      </c>
      <c r="W19" s="310">
        <f t="shared" si="1"/>
        <v>0</v>
      </c>
      <c r="X19" s="310">
        <f t="shared" si="1"/>
        <v>0</v>
      </c>
      <c r="Y19" s="310">
        <f t="shared" ref="Y19:Z19" si="2">Y$7*5+Y$14*2</f>
        <v>0</v>
      </c>
      <c r="Z19" s="310">
        <f t="shared" si="2"/>
        <v>0</v>
      </c>
      <c r="AA19" s="308"/>
      <c r="AB19" s="308"/>
      <c r="AC19" s="308"/>
      <c r="AD19" s="308"/>
      <c r="AE19" s="308"/>
      <c r="AF19" s="310">
        <f>AF$7*5+AF$14*2</f>
        <v>0</v>
      </c>
      <c r="AG19" s="310">
        <f t="shared" si="0"/>
        <v>0</v>
      </c>
      <c r="AH19" s="362">
        <f t="shared" si="0"/>
        <v>0</v>
      </c>
      <c r="AI19" s="127"/>
    </row>
    <row r="20" spans="2:35" ht="15" customHeight="1" thickBot="1" x14ac:dyDescent="0.3">
      <c r="B20" s="232" t="s">
        <v>83</v>
      </c>
      <c r="C20" s="233"/>
      <c r="D20" s="263">
        <f>'Incumbent fuels'!C3</f>
        <v>3.9153333333333333</v>
      </c>
      <c r="J20" s="146" t="s">
        <v>84</v>
      </c>
      <c r="K20" s="311">
        <f>K$7*5+K$14*2</f>
        <v>2000</v>
      </c>
      <c r="L20" s="311">
        <f t="shared" ref="L20:O20" si="3">L$7*5+L$14*2</f>
        <v>2000</v>
      </c>
      <c r="M20" s="311">
        <f t="shared" si="3"/>
        <v>2000</v>
      </c>
      <c r="N20" s="311">
        <f>N$7*5+N$14*2</f>
        <v>1000</v>
      </c>
      <c r="O20" s="311">
        <f t="shared" si="3"/>
        <v>0</v>
      </c>
      <c r="P20" s="311">
        <f>P$7*5+P$14*2</f>
        <v>0</v>
      </c>
      <c r="Q20" s="311">
        <f>Q$14*2</f>
        <v>0</v>
      </c>
      <c r="R20" s="311">
        <f t="shared" ref="R20:X20" si="4">R$14*2</f>
        <v>0</v>
      </c>
      <c r="S20" s="311">
        <f t="shared" si="4"/>
        <v>0</v>
      </c>
      <c r="T20" s="311">
        <f t="shared" si="4"/>
        <v>0</v>
      </c>
      <c r="U20" s="311">
        <f t="shared" si="4"/>
        <v>0</v>
      </c>
      <c r="V20" s="311">
        <f t="shared" si="4"/>
        <v>0</v>
      </c>
      <c r="W20" s="311">
        <f t="shared" si="4"/>
        <v>0</v>
      </c>
      <c r="X20" s="311">
        <f t="shared" si="4"/>
        <v>0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61"/>
      <c r="AI20" s="127"/>
    </row>
    <row r="21" spans="2:35" ht="15" customHeight="1" thickBot="1" x14ac:dyDescent="0.3">
      <c r="B21" s="234" t="s">
        <v>85</v>
      </c>
      <c r="C21" s="235"/>
      <c r="D21" s="264">
        <v>8</v>
      </c>
    </row>
    <row r="22" spans="2:35" ht="15" customHeight="1" thickBot="1" x14ac:dyDescent="0.3">
      <c r="B22" s="360"/>
      <c r="C22" s="376" t="s">
        <v>86</v>
      </c>
      <c r="D22" s="375">
        <f>IF(ROUND(D3,2)=O59,1,0)</f>
        <v>1</v>
      </c>
      <c r="J22" s="187" t="s">
        <v>4</v>
      </c>
    </row>
    <row r="23" spans="2:35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5">AA$7*5+AA$14*2</f>
        <v>0</v>
      </c>
      <c r="AB23" s="309">
        <f t="shared" si="5"/>
        <v>0</v>
      </c>
      <c r="AC23" s="309">
        <f t="shared" si="5"/>
        <v>0</v>
      </c>
      <c r="AD23" s="309">
        <f t="shared" si="5"/>
        <v>0</v>
      </c>
      <c r="AE23" s="309">
        <f t="shared" si="5"/>
        <v>0</v>
      </c>
      <c r="AF23" s="308"/>
      <c r="AG23" s="308"/>
      <c r="AH23" s="308"/>
    </row>
    <row r="24" spans="2:35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6">Q$7*5+Q$14*2</f>
        <v>0</v>
      </c>
      <c r="R24" s="310">
        <f t="shared" si="6"/>
        <v>0</v>
      </c>
      <c r="S24" s="310">
        <f t="shared" si="6"/>
        <v>0</v>
      </c>
      <c r="T24" s="310">
        <f t="shared" ref="T24" si="7">T$7*5</f>
        <v>0</v>
      </c>
      <c r="U24" s="312"/>
      <c r="V24" s="312"/>
      <c r="W24" s="312"/>
      <c r="X24" s="312"/>
      <c r="Y24" s="310">
        <f t="shared" si="6"/>
        <v>0</v>
      </c>
      <c r="Z24" s="310">
        <f t="shared" si="6"/>
        <v>0</v>
      </c>
      <c r="AA24" s="308"/>
      <c r="AB24" s="308"/>
      <c r="AC24" s="308"/>
      <c r="AD24" s="308"/>
      <c r="AE24" s="308"/>
      <c r="AF24" s="310">
        <f>AF$7*5+AF$14*2</f>
        <v>0</v>
      </c>
      <c r="AG24" s="310">
        <f t="shared" si="5"/>
        <v>0</v>
      </c>
      <c r="AH24" s="310">
        <f t="shared" si="5"/>
        <v>0</v>
      </c>
    </row>
    <row r="25" spans="2:35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311">
        <f t="shared" ref="K25:P25" si="8">K$7*5+K$14*2</f>
        <v>2000</v>
      </c>
      <c r="L25" s="311">
        <f t="shared" si="8"/>
        <v>2000</v>
      </c>
      <c r="M25" s="311">
        <f t="shared" si="8"/>
        <v>2000</v>
      </c>
      <c r="N25" s="311">
        <f t="shared" si="8"/>
        <v>1000</v>
      </c>
      <c r="O25" s="311">
        <f t="shared" si="8"/>
        <v>0</v>
      </c>
      <c r="P25" s="311">
        <f t="shared" si="8"/>
        <v>0</v>
      </c>
      <c r="Q25" s="311">
        <f>Q$14*2</f>
        <v>0</v>
      </c>
      <c r="R25" s="311">
        <f t="shared" ref="R25:T25" si="9">R$14*2</f>
        <v>0</v>
      </c>
      <c r="S25" s="311">
        <f t="shared" si="9"/>
        <v>0</v>
      </c>
      <c r="T25" s="311">
        <f t="shared" si="9"/>
        <v>0</v>
      </c>
      <c r="U25" s="311">
        <f>U$7*5+U$14*2</f>
        <v>0</v>
      </c>
      <c r="V25" s="311">
        <f t="shared" ref="V25:X25" si="10">V$7*5+V$14*2</f>
        <v>0</v>
      </c>
      <c r="W25" s="311">
        <f t="shared" si="10"/>
        <v>0</v>
      </c>
      <c r="X25" s="311">
        <f t="shared" si="10"/>
        <v>0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5" ht="15" customHeight="1" thickBot="1" x14ac:dyDescent="0.3">
      <c r="B26" s="149" t="s">
        <v>89</v>
      </c>
      <c r="C26" s="96" t="s">
        <v>90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5" ht="15" customHeight="1" thickBot="1" x14ac:dyDescent="0.3">
      <c r="B27" s="149" t="s">
        <v>27</v>
      </c>
      <c r="C27" s="96" t="s">
        <v>90</v>
      </c>
      <c r="D27" s="97" t="s">
        <v>92</v>
      </c>
      <c r="E27" s="97" t="s">
        <v>92</v>
      </c>
      <c r="F27" s="97" t="s">
        <v>92</v>
      </c>
      <c r="G27" s="97" t="s">
        <v>92</v>
      </c>
      <c r="J27" s="188" t="s">
        <v>61</v>
      </c>
    </row>
    <row r="28" spans="2:35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0</v>
      </c>
      <c r="AB28" s="309">
        <f t="shared" si="11"/>
        <v>0</v>
      </c>
      <c r="AC28" s="309">
        <f t="shared" si="11"/>
        <v>0</v>
      </c>
      <c r="AD28" s="309">
        <f t="shared" si="11"/>
        <v>0</v>
      </c>
      <c r="AE28" s="309">
        <f t="shared" si="11"/>
        <v>0</v>
      </c>
      <c r="AF28" s="308"/>
      <c r="AG28" s="308"/>
      <c r="AH28" s="308"/>
    </row>
    <row r="29" spans="2:35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2">Q$7*5</f>
        <v>0</v>
      </c>
      <c r="R29" s="310">
        <f t="shared" si="12"/>
        <v>0</v>
      </c>
      <c r="S29" s="310">
        <f t="shared" si="12"/>
        <v>0</v>
      </c>
      <c r="T29" s="310">
        <f t="shared" si="12"/>
        <v>0</v>
      </c>
      <c r="U29" s="310">
        <f t="shared" si="12"/>
        <v>0</v>
      </c>
      <c r="V29" s="310">
        <f t="shared" si="12"/>
        <v>0</v>
      </c>
      <c r="W29" s="310">
        <f t="shared" si="12"/>
        <v>0</v>
      </c>
      <c r="X29" s="310">
        <f>X$7*5</f>
        <v>0</v>
      </c>
      <c r="Y29" s="310">
        <f t="shared" ref="Y29:Z29" si="13">Y$7*5+Y$14*2</f>
        <v>0</v>
      </c>
      <c r="Z29" s="310">
        <f t="shared" si="13"/>
        <v>0</v>
      </c>
      <c r="AA29" s="308"/>
      <c r="AB29" s="308"/>
      <c r="AC29" s="308"/>
      <c r="AD29" s="308"/>
      <c r="AE29" s="308"/>
      <c r="AF29" s="310">
        <f>AF$7*5+AF$14*2</f>
        <v>0</v>
      </c>
      <c r="AG29" s="310">
        <f t="shared" si="11"/>
        <v>0</v>
      </c>
      <c r="AH29" s="310">
        <f t="shared" si="11"/>
        <v>0</v>
      </c>
    </row>
    <row r="30" spans="2:35" ht="15" customHeight="1" thickBot="1" x14ac:dyDescent="0.3">
      <c r="B30" s="150" t="s">
        <v>93</v>
      </c>
      <c r="C30" s="96" t="s">
        <v>95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84</v>
      </c>
      <c r="K30" s="311">
        <f t="shared" ref="K30:P30" si="15">K$7*5+K$14*2</f>
        <v>2000</v>
      </c>
      <c r="L30" s="311">
        <f t="shared" si="15"/>
        <v>2000</v>
      </c>
      <c r="M30" s="311">
        <f t="shared" si="15"/>
        <v>2000</v>
      </c>
      <c r="N30" s="311">
        <f t="shared" si="15"/>
        <v>1000</v>
      </c>
      <c r="O30" s="311">
        <f t="shared" si="15"/>
        <v>0</v>
      </c>
      <c r="P30" s="311">
        <f t="shared" si="15"/>
        <v>0</v>
      </c>
      <c r="Q30" s="311">
        <f>Q$14*2</f>
        <v>0</v>
      </c>
      <c r="R30" s="311">
        <f t="shared" ref="R30:X30" si="16">R$14*2</f>
        <v>0</v>
      </c>
      <c r="S30" s="311">
        <f t="shared" si="16"/>
        <v>0</v>
      </c>
      <c r="T30" s="311">
        <f t="shared" si="16"/>
        <v>0</v>
      </c>
      <c r="U30" s="311">
        <f t="shared" si="16"/>
        <v>0</v>
      </c>
      <c r="V30" s="311">
        <f t="shared" si="16"/>
        <v>0</v>
      </c>
      <c r="W30" s="311">
        <f t="shared" si="16"/>
        <v>0</v>
      </c>
      <c r="X30" s="311">
        <f t="shared" si="16"/>
        <v>0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5" ht="15" customHeight="1" thickBot="1" x14ac:dyDescent="0.3">
      <c r="B31" s="150"/>
      <c r="C31" s="96"/>
      <c r="D31" s="97"/>
      <c r="E31" s="97"/>
      <c r="F31" s="97"/>
      <c r="G31" s="97"/>
    </row>
    <row r="32" spans="2:35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201"/>
    </row>
    <row r="33" spans="2:16" ht="15" customHeight="1" thickBot="1" x14ac:dyDescent="0.3">
      <c r="B33" s="149" t="s">
        <v>80</v>
      </c>
      <c r="C33" s="98" t="s">
        <v>97</v>
      </c>
      <c r="D33" s="247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98</v>
      </c>
      <c r="N33" s="14"/>
      <c r="O33" s="200" t="s">
        <v>99</v>
      </c>
      <c r="P33" s="202" t="s">
        <v>100</v>
      </c>
    </row>
    <row r="34" spans="2:16" ht="15" customHeight="1" thickBot="1" x14ac:dyDescent="0.3">
      <c r="B34" s="149" t="s">
        <v>101</v>
      </c>
      <c r="C34" s="98" t="s">
        <v>97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102</v>
      </c>
      <c r="O34" s="200" t="s">
        <v>103</v>
      </c>
      <c r="P34" s="202" t="s">
        <v>104</v>
      </c>
    </row>
    <row r="35" spans="2:16" ht="15" customHeight="1" x14ac:dyDescent="0.25">
      <c r="B35" s="149" t="s">
        <v>105</v>
      </c>
      <c r="C35" s="98" t="s">
        <v>97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03">
        <f>$D$4*$D$5*O35</f>
        <v>400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03">
        <f t="shared" ref="P36:P58" si="18">$D$4*$D$5*O36</f>
        <v>400</v>
      </c>
    </row>
    <row r="37" spans="2:16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152083.33333333337</v>
      </c>
      <c r="L37" s="129" t="s">
        <v>106</v>
      </c>
      <c r="N37" s="15">
        <v>8.3333333333333301E-2</v>
      </c>
      <c r="O37" s="211">
        <v>1</v>
      </c>
      <c r="P37" s="203">
        <f t="shared" si="18"/>
        <v>400</v>
      </c>
    </row>
    <row r="38" spans="2:16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H38" s="35"/>
      <c r="K38" s="35"/>
      <c r="N38" s="15">
        <v>0.125</v>
      </c>
      <c r="O38" s="211">
        <v>0.5</v>
      </c>
      <c r="P38" s="203">
        <f t="shared" si="18"/>
        <v>200</v>
      </c>
    </row>
    <row r="39" spans="2:16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H39" s="35"/>
      <c r="J39" s="187" t="s">
        <v>4</v>
      </c>
      <c r="K39" s="153"/>
      <c r="L39" s="153"/>
      <c r="N39" s="15">
        <v>0.16666666666666699</v>
      </c>
      <c r="O39" s="211"/>
      <c r="P39" s="203">
        <f t="shared" si="18"/>
        <v>0</v>
      </c>
    </row>
    <row r="40" spans="2:16" ht="15" customHeight="1" x14ac:dyDescent="0.25">
      <c r="B40" s="100" t="s">
        <v>48</v>
      </c>
      <c r="C40" s="99" t="s">
        <v>106</v>
      </c>
      <c r="D40" s="101">
        <f>K37</f>
        <v>152083.33333333337</v>
      </c>
      <c r="E40" s="101">
        <f>K42</f>
        <v>60833.333333333343</v>
      </c>
      <c r="F40" s="101">
        <f>K47</f>
        <v>152083.33333333337</v>
      </c>
      <c r="G40" s="101">
        <f>D40+E40+F40</f>
        <v>365000.00000000012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03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03">
        <f t="shared" si="18"/>
        <v>0</v>
      </c>
    </row>
    <row r="42" spans="2:16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60833.333333333343</v>
      </c>
      <c r="L42" s="129" t="s">
        <v>106</v>
      </c>
      <c r="N42" s="15">
        <v>0.29166666666666702</v>
      </c>
      <c r="O42" s="211">
        <v>0</v>
      </c>
      <c r="P42" s="203">
        <f t="shared" si="18"/>
        <v>0</v>
      </c>
    </row>
    <row r="43" spans="2:16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03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03">
        <f t="shared" si="18"/>
        <v>0</v>
      </c>
    </row>
    <row r="45" spans="2:16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03">
        <f t="shared" si="18"/>
        <v>0</v>
      </c>
    </row>
    <row r="46" spans="2:16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03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152083.33333333337</v>
      </c>
      <c r="L47" s="129" t="s">
        <v>106</v>
      </c>
      <c r="N47" s="15">
        <v>0.5</v>
      </c>
      <c r="O47" s="211">
        <v>0</v>
      </c>
      <c r="P47" s="203">
        <f t="shared" si="18"/>
        <v>0</v>
      </c>
    </row>
    <row r="48" spans="2:16" ht="15" customHeight="1" thickBot="1" x14ac:dyDescent="0.3">
      <c r="B48" s="166" t="s">
        <v>89</v>
      </c>
      <c r="C48" s="167" t="s">
        <v>111</v>
      </c>
      <c r="D48" s="280">
        <f>'Rate Summary TOU-M and EV-HP'!$E$8*$D$13</f>
        <v>507.8</v>
      </c>
      <c r="E48" s="280">
        <f>'Rate Summary TOU-M and EV-HP'!$E$8*$D$14</f>
        <v>203.12</v>
      </c>
      <c r="F48" s="280">
        <f>'Rate Summary TOU-M and EV-HP'!$E$8*$D$15</f>
        <v>507.8</v>
      </c>
      <c r="G48" s="281">
        <f>SUM(D48:F48)</f>
        <v>1218.72</v>
      </c>
      <c r="N48" s="15">
        <v>0.54166666666666696</v>
      </c>
      <c r="O48" s="211">
        <v>0</v>
      </c>
      <c r="P48" s="203">
        <f t="shared" si="18"/>
        <v>0</v>
      </c>
    </row>
    <row r="49" spans="2:73" ht="15" customHeight="1" thickBot="1" x14ac:dyDescent="0.3">
      <c r="B49" s="166" t="s">
        <v>27</v>
      </c>
      <c r="C49" s="167" t="s">
        <v>111</v>
      </c>
      <c r="D49" s="281" t="s">
        <v>92</v>
      </c>
      <c r="E49" s="281" t="s">
        <v>92</v>
      </c>
      <c r="F49" s="281" t="s">
        <v>92</v>
      </c>
      <c r="G49" s="281" t="s">
        <v>92</v>
      </c>
      <c r="J49" s="163" t="s">
        <v>112</v>
      </c>
      <c r="K49" s="162">
        <f>SUM(K35:K47)</f>
        <v>365000.00000000012</v>
      </c>
      <c r="L49" s="161" t="s">
        <v>106</v>
      </c>
      <c r="N49" s="15">
        <v>0.58333333333333304</v>
      </c>
      <c r="O49" s="211">
        <v>0</v>
      </c>
      <c r="P49" s="203">
        <f t="shared" si="18"/>
        <v>0</v>
      </c>
    </row>
    <row r="50" spans="2:73" ht="15" customHeight="1" thickBot="1" x14ac:dyDescent="0.3">
      <c r="B50" s="166"/>
      <c r="C50" s="167"/>
      <c r="D50" s="281"/>
      <c r="E50" s="281"/>
      <c r="F50" s="281"/>
      <c r="G50" s="281"/>
      <c r="M50" s="159"/>
      <c r="N50" s="15">
        <v>0.625</v>
      </c>
      <c r="O50" s="211">
        <v>0</v>
      </c>
      <c r="P50" s="203">
        <f t="shared" si="18"/>
        <v>0</v>
      </c>
    </row>
    <row r="51" spans="2:73" ht="15" customHeight="1" thickBot="1" x14ac:dyDescent="0.3">
      <c r="B51" s="169"/>
      <c r="C51" s="167"/>
      <c r="D51" s="281"/>
      <c r="E51" s="281"/>
      <c r="F51" s="281"/>
      <c r="G51" s="281"/>
      <c r="J51" s="246" t="s">
        <v>113</v>
      </c>
      <c r="K51" s="153"/>
      <c r="L51" s="120"/>
      <c r="N51" s="15">
        <v>0.66666666666666696</v>
      </c>
      <c r="O51" s="211">
        <v>0</v>
      </c>
      <c r="P51" s="203">
        <f t="shared" si="18"/>
        <v>0</v>
      </c>
    </row>
    <row r="52" spans="2:73" ht="15" customHeight="1" x14ac:dyDescent="0.25">
      <c r="B52" s="169" t="s">
        <v>114</v>
      </c>
      <c r="C52" s="167" t="s">
        <v>111</v>
      </c>
      <c r="D52" s="281" t="s">
        <v>92</v>
      </c>
      <c r="E52" s="281" t="s">
        <v>92</v>
      </c>
      <c r="F52" s="281" t="s">
        <v>92</v>
      </c>
      <c r="G52" s="281" t="s">
        <v>92</v>
      </c>
      <c r="J52" s="145" t="s">
        <v>115</v>
      </c>
      <c r="K52" s="245">
        <f>D20*((D2*D4*D8*D10)/D21)</f>
        <v>10633.159722222226</v>
      </c>
      <c r="L52" s="128" t="s">
        <v>116</v>
      </c>
      <c r="M52" s="159"/>
      <c r="N52" s="15">
        <v>0.70833333333333304</v>
      </c>
      <c r="O52" s="211">
        <v>0</v>
      </c>
      <c r="P52" s="203">
        <f t="shared" si="18"/>
        <v>0</v>
      </c>
    </row>
    <row r="53" spans="2:73" ht="15" customHeight="1" thickBot="1" x14ac:dyDescent="0.3">
      <c r="B53" s="169"/>
      <c r="C53" s="167"/>
      <c r="D53" s="281"/>
      <c r="E53" s="281"/>
      <c r="F53" s="281"/>
      <c r="G53" s="281"/>
      <c r="J53" s="146" t="s">
        <v>117</v>
      </c>
      <c r="K53" s="251">
        <f>K52/D12</f>
        <v>0.48941666666666667</v>
      </c>
      <c r="L53" s="238" t="s">
        <v>116</v>
      </c>
      <c r="N53" s="15">
        <v>0.75</v>
      </c>
      <c r="O53" s="211">
        <v>0</v>
      </c>
      <c r="P53" s="203">
        <f t="shared" si="18"/>
        <v>0</v>
      </c>
    </row>
    <row r="54" spans="2:73" ht="15" customHeight="1" x14ac:dyDescent="0.25">
      <c r="B54" s="169" t="s">
        <v>118</v>
      </c>
      <c r="C54" s="167"/>
      <c r="D54" s="281"/>
      <c r="E54" s="281"/>
      <c r="F54" s="281"/>
      <c r="G54" s="281"/>
      <c r="N54" s="15">
        <v>0.79166666666666696</v>
      </c>
      <c r="O54" s="211">
        <v>0</v>
      </c>
      <c r="P54" s="203">
        <f t="shared" si="18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EV-HP'!$E12*$D$10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 t="shared" ref="G55:G65" si="19">SUM(D55:F55)</f>
        <v>0</v>
      </c>
      <c r="H55" s="197"/>
      <c r="J55" s="156"/>
      <c r="N55" s="15">
        <v>0.83333333333333304</v>
      </c>
      <c r="O55" s="211">
        <v>0</v>
      </c>
      <c r="P55" s="203">
        <f t="shared" si="18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4440.0000000000009</v>
      </c>
      <c r="E56" s="280">
        <f>E34*'Rate Summary TOU-M and EV-HP'!$E14*$D$14</f>
        <v>1776.0000000000002</v>
      </c>
      <c r="F56" s="280">
        <f>F34*'Rate Summary TOU-M and EV-HP'!$E14*$D$15</f>
        <v>4440.0000000000009</v>
      </c>
      <c r="G56" s="281">
        <f>SUM(D56:F56)</f>
        <v>10656.000000000002</v>
      </c>
      <c r="N56" s="15">
        <v>0.875</v>
      </c>
      <c r="O56" s="211">
        <v>0</v>
      </c>
      <c r="P56" s="203">
        <f t="shared" si="18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03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0"/>
      <c r="E58" s="280"/>
      <c r="F58" s="280"/>
      <c r="G58" s="281"/>
      <c r="N58" s="15">
        <v>0.95833333333333304</v>
      </c>
      <c r="O58" s="211">
        <v>0</v>
      </c>
      <c r="P58" s="203">
        <f t="shared" si="18"/>
        <v>0</v>
      </c>
      <c r="BR58" s="1"/>
      <c r="BS58" s="109"/>
      <c r="BT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1"/>
      <c r="H59" s="197"/>
      <c r="N59" s="183"/>
      <c r="O59" s="359">
        <f>SUM(O35:O58)</f>
        <v>3.5</v>
      </c>
      <c r="P59" s="204">
        <f>SUM(P35:P58)</f>
        <v>1400</v>
      </c>
      <c r="BR59" s="1"/>
      <c r="BS59" s="109"/>
      <c r="BT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 t="shared" si="19"/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 t="shared" si="19"/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26619.145833333343</v>
      </c>
      <c r="E62" s="280">
        <f>K42*'Rate Summary TOU-M and EV-HP'!$E26</f>
        <v>10719.441666666669</v>
      </c>
      <c r="F62" s="280">
        <f>K47*'Rate Summary TOU-M and EV-HP'!$E26</f>
        <v>26798.604166666675</v>
      </c>
      <c r="G62" s="281">
        <f t="shared" si="19"/>
        <v>64137.19166666668</v>
      </c>
      <c r="J62" s="10" t="s">
        <v>121</v>
      </c>
      <c r="Q62" s="210"/>
      <c r="BS62" s="1"/>
      <c r="BT62" s="109"/>
      <c r="BU62" s="156"/>
    </row>
    <row r="63" spans="2:73" x14ac:dyDescent="0.25">
      <c r="B63" s="166"/>
      <c r="C63" s="166"/>
      <c r="D63" s="292"/>
      <c r="E63" s="292"/>
      <c r="F63" s="292"/>
      <c r="G63" s="281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 t="shared" si="19"/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 t="shared" si="19"/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125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79">
        <f>SUM(D48:D65)</f>
        <v>31566.945833333346</v>
      </c>
      <c r="E67" s="279">
        <f>SUM(E48:E65)</f>
        <v>12698.56166666667</v>
      </c>
      <c r="F67" s="279">
        <f>SUM(F48:F65)</f>
        <v>31746.404166666674</v>
      </c>
      <c r="G67" s="279">
        <f>SUM(G48:G65)</f>
        <v>76011.911666666681</v>
      </c>
      <c r="J67" s="230" t="s">
        <v>126</v>
      </c>
      <c r="BS67" s="1"/>
      <c r="BT67" s="109"/>
      <c r="BU67" s="156"/>
    </row>
    <row r="68" spans="2:73" x14ac:dyDescent="0.25">
      <c r="B68" s="189" t="s">
        <v>127</v>
      </c>
      <c r="C68" s="190"/>
      <c r="D68" s="279">
        <f>D67/5</f>
        <v>6313.3891666666696</v>
      </c>
      <c r="E68" s="290">
        <f>E67/2</f>
        <v>6349.2808333333351</v>
      </c>
      <c r="F68" s="267">
        <f>F67/5</f>
        <v>6349.2808333333351</v>
      </c>
      <c r="G68" s="291">
        <f>G67/12</f>
        <v>6334.3259722222238</v>
      </c>
      <c r="J68" s="10" t="s">
        <v>128</v>
      </c>
    </row>
    <row r="69" spans="2:73" x14ac:dyDescent="0.25">
      <c r="B69" s="273" t="s">
        <v>9</v>
      </c>
      <c r="C69" s="268"/>
      <c r="D69" s="172">
        <f>D67/(D38+D39+D40)</f>
        <v>0.20756347945205483</v>
      </c>
      <c r="E69" s="269">
        <f t="shared" ref="E69:G69" si="20">E67/(E38+E39+E40)</f>
        <v>0.20874347945205482</v>
      </c>
      <c r="F69" s="172">
        <f t="shared" si="20"/>
        <v>0.20874347945205479</v>
      </c>
      <c r="G69" s="274">
        <f t="shared" si="20"/>
        <v>0.2082518127853881</v>
      </c>
    </row>
    <row r="70" spans="2:73" ht="15.75" thickBot="1" x14ac:dyDescent="0.3">
      <c r="B70" s="275" t="s">
        <v>129</v>
      </c>
      <c r="C70" s="276"/>
      <c r="D70" s="278">
        <f>D69*$D$11</f>
        <v>0.29058887123287674</v>
      </c>
      <c r="E70" s="278">
        <f t="shared" ref="E70:G70" si="21">E69*$D$11</f>
        <v>0.29224087123287673</v>
      </c>
      <c r="F70" s="278">
        <f t="shared" si="21"/>
        <v>0.29224087123287668</v>
      </c>
      <c r="G70" s="278">
        <f t="shared" si="21"/>
        <v>0.29155253789954333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ht="15.75" thickBot="1" x14ac:dyDescent="0.3">
      <c r="B73" s="296" t="s">
        <v>88</v>
      </c>
      <c r="C73" s="297" t="s">
        <v>20</v>
      </c>
      <c r="D73" s="296" t="s">
        <v>3</v>
      </c>
      <c r="E73" s="298" t="s">
        <v>4</v>
      </c>
      <c r="F73" s="298" t="s">
        <v>5</v>
      </c>
      <c r="G73" s="105" t="s">
        <v>6</v>
      </c>
    </row>
    <row r="74" spans="2:73" x14ac:dyDescent="0.25">
      <c r="B74" s="314"/>
      <c r="C74" s="315"/>
      <c r="D74" s="314"/>
      <c r="E74" s="316"/>
      <c r="F74" s="328"/>
      <c r="G74" s="94"/>
      <c r="AV74" s="156"/>
      <c r="AW74" s="156"/>
      <c r="AX74" s="156"/>
      <c r="AY74" s="156"/>
    </row>
    <row r="75" spans="2:73" x14ac:dyDescent="0.25">
      <c r="B75" s="149" t="s">
        <v>89</v>
      </c>
      <c r="C75" s="96" t="s">
        <v>111</v>
      </c>
      <c r="D75" s="322">
        <f>'Rate Summary TOU-M and EV-HP'!$I$7*$D$13</f>
        <v>931.52</v>
      </c>
      <c r="E75" s="322">
        <f>'Rate Summary TOU-M and EV-HP'!$I$7*$D$14</f>
        <v>372.608</v>
      </c>
      <c r="F75" s="329">
        <f>'Rate Summary TOU-M and EV-HP'!$I$7*$D$15</f>
        <v>931.52</v>
      </c>
      <c r="G75" s="322">
        <f>SUM(D75:F75)</f>
        <v>2235.6480000000001</v>
      </c>
    </row>
    <row r="76" spans="2:73" x14ac:dyDescent="0.25">
      <c r="B76" s="149" t="s">
        <v>27</v>
      </c>
      <c r="C76" s="96" t="s">
        <v>111</v>
      </c>
      <c r="D76" s="318" t="s">
        <v>92</v>
      </c>
      <c r="E76" s="319" t="s">
        <v>92</v>
      </c>
      <c r="F76" s="330" t="s">
        <v>92</v>
      </c>
      <c r="G76" s="318" t="s">
        <v>92</v>
      </c>
    </row>
    <row r="77" spans="2:73" x14ac:dyDescent="0.25">
      <c r="B77" s="150"/>
      <c r="C77" s="96"/>
      <c r="D77" s="178"/>
      <c r="E77" s="178"/>
      <c r="F77" s="323"/>
      <c r="G77" s="179"/>
    </row>
    <row r="78" spans="2:73" x14ac:dyDescent="0.25">
      <c r="B78" s="150" t="s">
        <v>130</v>
      </c>
      <c r="C78" s="96" t="s">
        <v>111</v>
      </c>
      <c r="D78" s="282">
        <f>(D29*'Rate Summary TOU-M and EV-HP'!$I$10+D30*'Rate Summary TOU-M and EV-HP'!$I$11)*$D$13</f>
        <v>17670.75</v>
      </c>
      <c r="E78" s="282">
        <f>(E29*'Rate Summary TOU-M and EV-HP'!$I$10+E30*'Rate Summary TOU-M and EV-HP'!$I$11)*$D$14</f>
        <v>7068.2999999999993</v>
      </c>
      <c r="F78" s="324">
        <f>(F29*'Rate Summary TOU-M and EV-HP'!$I$10+F30*'Rate Summary TOU-M and EV-HP'!$I$11)*$D$15</f>
        <v>17670.75</v>
      </c>
      <c r="G78" s="283">
        <f>SUM(D78:F78)</f>
        <v>42409.8</v>
      </c>
    </row>
    <row r="79" spans="2:73" x14ac:dyDescent="0.25">
      <c r="B79" s="150"/>
      <c r="C79" s="96"/>
      <c r="D79" s="283"/>
      <c r="E79" s="283"/>
      <c r="F79" s="325"/>
      <c r="G79" s="283"/>
    </row>
    <row r="80" spans="2:73" x14ac:dyDescent="0.25">
      <c r="B80" s="150" t="s">
        <v>118</v>
      </c>
      <c r="C80" s="96"/>
      <c r="D80" s="283"/>
      <c r="E80" s="283"/>
      <c r="F80" s="325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324" t="s">
        <v>92</v>
      </c>
      <c r="G81" s="318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324" t="s">
        <v>92</v>
      </c>
      <c r="G82" s="318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324" t="s">
        <v>92</v>
      </c>
      <c r="G83" s="318" t="s">
        <v>92</v>
      </c>
    </row>
    <row r="84" spans="2:56" x14ac:dyDescent="0.25">
      <c r="B84" s="149"/>
      <c r="C84" s="149"/>
      <c r="D84" s="282"/>
      <c r="E84" s="282"/>
      <c r="F84" s="324"/>
      <c r="G84" s="282"/>
    </row>
    <row r="85" spans="2:56" x14ac:dyDescent="0.25">
      <c r="B85" s="100" t="s">
        <v>119</v>
      </c>
      <c r="C85" s="100"/>
      <c r="D85" s="282"/>
      <c r="E85" s="282"/>
      <c r="F85" s="324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324">
        <f>F38*'Rate Summary TOU-M and EV-HP'!$I21</f>
        <v>0</v>
      </c>
      <c r="G86" s="283">
        <f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324">
        <f>F39*'Rate Summary TOU-M and EV-HP'!$I22</f>
        <v>0</v>
      </c>
      <c r="G87" s="283">
        <f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16762.625000000004</v>
      </c>
      <c r="E88" s="282">
        <f>E40*'Rate Summary TOU-M and EV-HP'!$I23</f>
        <v>6776.8333333333339</v>
      </c>
      <c r="F88" s="324">
        <f>F40*'Rate Summary TOU-M and EV-HP'!$I23</f>
        <v>16942.083333333336</v>
      </c>
      <c r="G88" s="283">
        <f>SUM(D88:F88)</f>
        <v>40481.541666666672</v>
      </c>
    </row>
    <row r="89" spans="2:56" x14ac:dyDescent="0.25">
      <c r="B89" s="149"/>
      <c r="C89" s="149"/>
      <c r="D89" s="293"/>
      <c r="E89" s="293"/>
      <c r="F89" s="326"/>
      <c r="G89" s="293"/>
    </row>
    <row r="90" spans="2:56" x14ac:dyDescent="0.25">
      <c r="B90" s="100" t="s">
        <v>108</v>
      </c>
      <c r="C90" s="96" t="s">
        <v>111</v>
      </c>
      <c r="D90" s="282">
        <v>0</v>
      </c>
      <c r="E90" s="282">
        <v>0</v>
      </c>
      <c r="F90" s="324">
        <v>0</v>
      </c>
      <c r="G90" s="283">
        <f>SUM(D90:F90)</f>
        <v>0</v>
      </c>
    </row>
    <row r="91" spans="2:56" ht="15.75" thickBot="1" x14ac:dyDescent="0.3">
      <c r="B91" s="102" t="s">
        <v>44</v>
      </c>
      <c r="C91" s="180" t="s">
        <v>111</v>
      </c>
      <c r="D91" s="294">
        <v>0</v>
      </c>
      <c r="E91" s="294">
        <v>0</v>
      </c>
      <c r="F91" s="327">
        <v>0</v>
      </c>
      <c r="G91" s="295">
        <f>SUM(D91:F91)</f>
        <v>0</v>
      </c>
    </row>
    <row r="92" spans="2:56" ht="15.75" thickBot="1" x14ac:dyDescent="0.3"/>
    <row r="93" spans="2:56" ht="15.75" thickBot="1" x14ac:dyDescent="0.3">
      <c r="B93" s="266" t="s">
        <v>7</v>
      </c>
      <c r="C93" s="190"/>
      <c r="D93" s="279">
        <f>SUM(D75:D91)</f>
        <v>35364.895000000004</v>
      </c>
      <c r="E93" s="279">
        <f>SUM(E75:E91)</f>
        <v>14217.741333333333</v>
      </c>
      <c r="F93" s="279">
        <f>SUM(F75:F91)</f>
        <v>35544.353333333333</v>
      </c>
      <c r="G93" s="279">
        <f>SUM(G75:G91)</f>
        <v>85126.989666666675</v>
      </c>
    </row>
    <row r="94" spans="2:56" x14ac:dyDescent="0.25">
      <c r="B94" s="189" t="s">
        <v>8</v>
      </c>
      <c r="C94" s="190"/>
      <c r="D94" s="191">
        <f>D93/5</f>
        <v>7072.9790000000012</v>
      </c>
      <c r="E94" s="271">
        <f>E93/2</f>
        <v>7108.8706666666667</v>
      </c>
      <c r="F94" s="191">
        <f>F93/5</f>
        <v>7108.8706666666667</v>
      </c>
      <c r="G94" s="272">
        <f>G93/12</f>
        <v>7093.9158055555563</v>
      </c>
    </row>
    <row r="95" spans="2:56" x14ac:dyDescent="0.25">
      <c r="B95" s="273" t="s">
        <v>9</v>
      </c>
      <c r="C95" s="268"/>
      <c r="D95" s="172">
        <f>D93/(D38+D39+D40)</f>
        <v>0.23253629589041092</v>
      </c>
      <c r="E95" s="269">
        <f>E93/(E38+E39+E40)</f>
        <v>0.23371629589041093</v>
      </c>
      <c r="F95" s="172">
        <f>F93/(F38+F39+F40)</f>
        <v>0.2337162958904109</v>
      </c>
      <c r="G95" s="274">
        <f>G93/(G38+G39+G40)</f>
        <v>0.23322462922374423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0.32555081424657528</v>
      </c>
      <c r="E96" s="285">
        <f t="shared" ref="E96:G96" si="22">E95*$D$11</f>
        <v>0.32720281424657527</v>
      </c>
      <c r="F96" s="285">
        <f t="shared" si="22"/>
        <v>0.32720281424657527</v>
      </c>
      <c r="G96" s="285">
        <f t="shared" si="22"/>
        <v>0.32651448091324192</v>
      </c>
      <c r="H96" s="240"/>
    </row>
    <row r="97" spans="2:45" ht="15.75" thickBot="1" x14ac:dyDescent="0.3">
      <c r="B97" s="157" t="s">
        <v>131</v>
      </c>
      <c r="C97" s="158"/>
      <c r="D97" s="286">
        <f>(D69-D95)/D69</f>
        <v>-0.12031411549026649</v>
      </c>
      <c r="E97" s="195">
        <f>(E69-E95)/E69</f>
        <v>-0.11963399529369244</v>
      </c>
      <c r="F97" s="286">
        <f>(F69-F95)/F69</f>
        <v>-0.11963399529369245</v>
      </c>
      <c r="G97" s="196">
        <f>(G69-G95)/G69</f>
        <v>-0.11991644204361204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f>$D$16</f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149" t="s">
        <v>89</v>
      </c>
      <c r="C102" s="96" t="s">
        <v>111</v>
      </c>
      <c r="D102" s="322">
        <f>D75</f>
        <v>931.52</v>
      </c>
      <c r="E102" s="322">
        <f t="shared" ref="E102:G102" si="23">E75</f>
        <v>372.608</v>
      </c>
      <c r="F102" s="322">
        <f t="shared" si="23"/>
        <v>931.52</v>
      </c>
      <c r="G102" s="322">
        <f t="shared" si="23"/>
        <v>2235.6480000000001</v>
      </c>
      <c r="O102" s="197"/>
      <c r="P102" s="197"/>
      <c r="Q102" s="207"/>
      <c r="AS102" s="108"/>
    </row>
    <row r="103" spans="2:45" x14ac:dyDescent="0.25">
      <c r="B103" s="149" t="s">
        <v>27</v>
      </c>
      <c r="C103" s="96" t="s">
        <v>111</v>
      </c>
      <c r="D103" s="322" t="str">
        <f>D76</f>
        <v>NA</v>
      </c>
      <c r="E103" s="322" t="str">
        <f t="shared" ref="E103:G103" si="24">E76</f>
        <v>NA</v>
      </c>
      <c r="F103" s="322" t="str">
        <f t="shared" si="24"/>
        <v>NA</v>
      </c>
      <c r="G103" s="322" t="str">
        <f t="shared" si="24"/>
        <v>NA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132</v>
      </c>
      <c r="C105" s="96" t="s">
        <v>111</v>
      </c>
      <c r="D105" s="282">
        <f>D78*(1-$D$99)</f>
        <v>8835.375</v>
      </c>
      <c r="E105" s="282">
        <f>E78*(1-$D$99)</f>
        <v>3534.1499999999996</v>
      </c>
      <c r="F105" s="282">
        <f>F78*(1-$D$99)</f>
        <v>8835.375</v>
      </c>
      <c r="G105" s="282">
        <f>G78*(1-$D$99)</f>
        <v>21204.9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G110" si="25">D81</f>
        <v>NA</v>
      </c>
      <c r="E108" s="282" t="str">
        <f t="shared" si="25"/>
        <v>NA</v>
      </c>
      <c r="F108" s="282" t="str">
        <f t="shared" si="25"/>
        <v>NA</v>
      </c>
      <c r="G108" s="283" t="str">
        <f t="shared" si="25"/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25"/>
        <v>NA</v>
      </c>
      <c r="E109" s="282" t="str">
        <f t="shared" si="25"/>
        <v>NA</v>
      </c>
      <c r="F109" s="282" t="str">
        <f t="shared" si="25"/>
        <v>NA</v>
      </c>
      <c r="G109" s="283" t="str">
        <f t="shared" si="25"/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25"/>
        <v>NA</v>
      </c>
      <c r="E110" s="282" t="str">
        <f t="shared" si="25"/>
        <v>NA</v>
      </c>
      <c r="F110" s="282" t="str">
        <f t="shared" si="25"/>
        <v>NA</v>
      </c>
      <c r="G110" s="283" t="str">
        <f t="shared" si="25"/>
        <v>NA</v>
      </c>
    </row>
    <row r="111" spans="2:45" x14ac:dyDescent="0.25">
      <c r="B111" s="149"/>
      <c r="C111" s="149"/>
      <c r="D111" s="282"/>
      <c r="E111" s="282"/>
      <c r="F111" s="282"/>
      <c r="G111" s="282"/>
    </row>
    <row r="112" spans="2:45" x14ac:dyDescent="0.25">
      <c r="B112" s="100" t="s">
        <v>119</v>
      </c>
      <c r="C112" s="100"/>
      <c r="D112" s="282"/>
      <c r="E112" s="282"/>
      <c r="F112" s="282"/>
      <c r="G112" s="282"/>
    </row>
    <row r="113" spans="2:14" x14ac:dyDescent="0.25">
      <c r="B113" s="100" t="s">
        <v>45</v>
      </c>
      <c r="C113" s="96" t="s">
        <v>111</v>
      </c>
      <c r="D113" s="282">
        <f t="shared" ref="D113:G115" si="26">D86</f>
        <v>0</v>
      </c>
      <c r="E113" s="282">
        <f t="shared" si="26"/>
        <v>0</v>
      </c>
      <c r="F113" s="282">
        <f t="shared" si="26"/>
        <v>0</v>
      </c>
      <c r="G113" s="283">
        <f t="shared" si="26"/>
        <v>0</v>
      </c>
    </row>
    <row r="114" spans="2:14" x14ac:dyDescent="0.25">
      <c r="B114" s="100" t="s">
        <v>46</v>
      </c>
      <c r="C114" s="96" t="s">
        <v>111</v>
      </c>
      <c r="D114" s="282">
        <f t="shared" si="26"/>
        <v>0</v>
      </c>
      <c r="E114" s="282">
        <f t="shared" si="26"/>
        <v>0</v>
      </c>
      <c r="F114" s="282">
        <f t="shared" si="26"/>
        <v>0</v>
      </c>
      <c r="G114" s="283">
        <f t="shared" si="26"/>
        <v>0</v>
      </c>
    </row>
    <row r="115" spans="2:14" x14ac:dyDescent="0.25">
      <c r="B115" s="100" t="s">
        <v>48</v>
      </c>
      <c r="C115" s="96" t="s">
        <v>111</v>
      </c>
      <c r="D115" s="282">
        <f t="shared" si="26"/>
        <v>16762.625000000004</v>
      </c>
      <c r="E115" s="282">
        <f t="shared" si="26"/>
        <v>6776.8333333333339</v>
      </c>
      <c r="F115" s="282">
        <f t="shared" si="26"/>
        <v>16942.083333333336</v>
      </c>
      <c r="G115" s="283">
        <f t="shared" si="26"/>
        <v>40481.541666666672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5" t="s">
        <v>134</v>
      </c>
      <c r="L116" s="385" t="s">
        <v>135</v>
      </c>
      <c r="M116" s="385" t="s">
        <v>136</v>
      </c>
      <c r="N116" s="385" t="s">
        <v>137</v>
      </c>
    </row>
    <row r="117" spans="2:14" x14ac:dyDescent="0.25">
      <c r="B117" s="100" t="s">
        <v>108</v>
      </c>
      <c r="C117" s="96" t="s">
        <v>111</v>
      </c>
      <c r="D117" s="178">
        <f t="shared" ref="D117:G118" si="27">D90</f>
        <v>0</v>
      </c>
      <c r="E117" s="178">
        <f t="shared" si="27"/>
        <v>0</v>
      </c>
      <c r="F117" s="178">
        <f t="shared" si="27"/>
        <v>0</v>
      </c>
      <c r="G117" s="179">
        <f t="shared" si="27"/>
        <v>0</v>
      </c>
      <c r="J117" s="10" t="s">
        <v>23</v>
      </c>
      <c r="K117" s="379">
        <f>D48/5</f>
        <v>101.56</v>
      </c>
      <c r="L117" s="379">
        <f>D75/5</f>
        <v>186.304</v>
      </c>
      <c r="M117" s="379">
        <f>L117</f>
        <v>186.304</v>
      </c>
      <c r="N117" s="379">
        <v>0</v>
      </c>
    </row>
    <row r="118" spans="2:14" ht="15.75" thickBot="1" x14ac:dyDescent="0.3">
      <c r="B118" s="102" t="s">
        <v>44</v>
      </c>
      <c r="C118" s="180" t="s">
        <v>111</v>
      </c>
      <c r="D118" s="181">
        <f t="shared" si="27"/>
        <v>0</v>
      </c>
      <c r="E118" s="181">
        <f t="shared" si="27"/>
        <v>0</v>
      </c>
      <c r="F118" s="181">
        <f t="shared" si="27"/>
        <v>0</v>
      </c>
      <c r="G118" s="182">
        <f t="shared" si="27"/>
        <v>0</v>
      </c>
      <c r="J118" s="10" t="s">
        <v>32</v>
      </c>
      <c r="K118" s="379">
        <f>(D55+D56)/5</f>
        <v>888.00000000000023</v>
      </c>
      <c r="L118" s="379">
        <v>0</v>
      </c>
      <c r="M118" s="379">
        <f t="shared" ref="M118:M120" si="28">L118</f>
        <v>0</v>
      </c>
      <c r="N118" s="379">
        <v>0</v>
      </c>
    </row>
    <row r="119" spans="2:14" ht="15.75" thickBot="1" x14ac:dyDescent="0.3">
      <c r="J119" s="10" t="s">
        <v>132</v>
      </c>
      <c r="K119" s="379">
        <v>0</v>
      </c>
      <c r="L119" s="379">
        <f>(D78)/5</f>
        <v>3534.15</v>
      </c>
      <c r="M119" s="379">
        <f>L119*D16</f>
        <v>1767.075</v>
      </c>
      <c r="N119" s="379">
        <v>0</v>
      </c>
    </row>
    <row r="120" spans="2:14" ht="15.75" thickBot="1" x14ac:dyDescent="0.3">
      <c r="B120" s="266" t="s">
        <v>7</v>
      </c>
      <c r="C120" s="190"/>
      <c r="D120" s="279">
        <f>SUM(D102:D118)</f>
        <v>26529.520000000004</v>
      </c>
      <c r="E120" s="279">
        <f t="shared" ref="E120:G120" si="29">SUM(E102:E118)</f>
        <v>10683.591333333334</v>
      </c>
      <c r="F120" s="279">
        <f t="shared" si="29"/>
        <v>26708.978333333336</v>
      </c>
      <c r="G120" s="279">
        <f t="shared" si="29"/>
        <v>63922.089666666674</v>
      </c>
      <c r="J120" s="10" t="s">
        <v>138</v>
      </c>
      <c r="K120" s="379">
        <f>(D60+D61+D62)/5</f>
        <v>5323.8291666666682</v>
      </c>
      <c r="L120" s="379">
        <f>(D86+D87+D88)/5</f>
        <v>3352.5250000000005</v>
      </c>
      <c r="M120" s="379">
        <f t="shared" si="28"/>
        <v>3352.5250000000005</v>
      </c>
      <c r="N120" s="379">
        <v>0</v>
      </c>
    </row>
    <row r="121" spans="2:14" x14ac:dyDescent="0.25">
      <c r="B121" s="189" t="s">
        <v>8</v>
      </c>
      <c r="C121" s="190"/>
      <c r="D121" s="279">
        <f>D120/5</f>
        <v>5305.9040000000005</v>
      </c>
      <c r="E121" s="290">
        <f>E120/2</f>
        <v>5341.7956666666669</v>
      </c>
      <c r="F121" s="279">
        <f>F120/5</f>
        <v>5341.7956666666669</v>
      </c>
      <c r="G121" s="291">
        <f>G120/12</f>
        <v>5326.8408055555565</v>
      </c>
      <c r="J121" s="381" t="s">
        <v>137</v>
      </c>
      <c r="K121" s="382">
        <v>0</v>
      </c>
      <c r="L121" s="382">
        <v>0</v>
      </c>
      <c r="M121" s="382">
        <v>0</v>
      </c>
      <c r="N121" s="382">
        <f>K52</f>
        <v>10633.159722222226</v>
      </c>
    </row>
    <row r="122" spans="2:14" x14ac:dyDescent="0.25">
      <c r="B122" s="273" t="s">
        <v>9</v>
      </c>
      <c r="C122" s="268"/>
      <c r="D122" s="172">
        <f>D120/(D38+D39+D40)</f>
        <v>0.17444067945205477</v>
      </c>
      <c r="E122" s="269">
        <f>E120/(E38+E39+E40)</f>
        <v>0.17562067945205478</v>
      </c>
      <c r="F122" s="172">
        <f>F120/(F38+F39+F40)</f>
        <v>0.17562067945205476</v>
      </c>
      <c r="G122" s="274">
        <f>G120/(G38+G39+G40)</f>
        <v>0.17512901278538809</v>
      </c>
      <c r="J122" s="151" t="s">
        <v>7</v>
      </c>
      <c r="K122" s="380">
        <f>SUM(K117:K121)</f>
        <v>6313.3891666666686</v>
      </c>
      <c r="L122" s="380">
        <f>SUM(L117:L121)</f>
        <v>7072.9790000000012</v>
      </c>
      <c r="M122" s="380">
        <f>SUM(M117:M121)</f>
        <v>5305.9040000000005</v>
      </c>
      <c r="N122" s="380">
        <f>SUM(N117:N121)</f>
        <v>10633.159722222226</v>
      </c>
    </row>
    <row r="123" spans="2:14" x14ac:dyDescent="0.25">
      <c r="B123" s="284" t="s">
        <v>129</v>
      </c>
      <c r="C123" s="270"/>
      <c r="D123" s="285">
        <f>D122*$D$11</f>
        <v>0.24421695123287665</v>
      </c>
      <c r="E123" s="285">
        <f t="shared" ref="E123:G123" si="30">E122*$D$11</f>
        <v>0.24586895123287669</v>
      </c>
      <c r="F123" s="285">
        <f t="shared" si="30"/>
        <v>0.24586895123287664</v>
      </c>
      <c r="G123" s="285">
        <f t="shared" si="30"/>
        <v>0.24518061789954332</v>
      </c>
    </row>
    <row r="124" spans="2:14" ht="15.75" thickBot="1" x14ac:dyDescent="0.3">
      <c r="B124" s="157" t="s">
        <v>131</v>
      </c>
      <c r="C124" s="158"/>
      <c r="D124" s="286">
        <f>(D69-D122)/D69</f>
        <v>0.15957913254991041</v>
      </c>
      <c r="E124" s="195">
        <f>(E69-E122)/E69</f>
        <v>0.1586770522698307</v>
      </c>
      <c r="F124" s="286">
        <f>(F69-F122)/F69</f>
        <v>0.15867705226983073</v>
      </c>
      <c r="G124" s="196">
        <f>(G69-G122)/G69</f>
        <v>0.15905167670321502</v>
      </c>
      <c r="H124" s="240"/>
    </row>
    <row r="125" spans="2:14" x14ac:dyDescent="0.25">
      <c r="B125" s="236"/>
      <c r="C125" s="236"/>
      <c r="D125" s="239"/>
      <c r="E125" s="239"/>
      <c r="F125" s="239"/>
      <c r="G125" s="239"/>
    </row>
  </sheetData>
  <dataConsolidate/>
  <conditionalFormatting sqref="K3:AE3 K4:P4 U4:AE4">
    <cfRule type="cellIs" dxfId="243" priority="41" operator="equal">
      <formula>"SOP"</formula>
    </cfRule>
    <cfRule type="cellIs" dxfId="242" priority="42" operator="equal">
      <formula>"Peak"</formula>
    </cfRule>
    <cfRule type="cellIs" dxfId="241" priority="43" operator="equal">
      <formula>"Partial"</formula>
    </cfRule>
    <cfRule type="cellIs" dxfId="240" priority="44" operator="equal">
      <formula>"Off"</formula>
    </cfRule>
  </conditionalFormatting>
  <conditionalFormatting sqref="K5:P5 AA5:AE5">
    <cfRule type="cellIs" dxfId="239" priority="37" operator="equal">
      <formula>"SOP"</formula>
    </cfRule>
    <cfRule type="cellIs" dxfId="238" priority="38" operator="equal">
      <formula>"Peak"</formula>
    </cfRule>
    <cfRule type="cellIs" dxfId="237" priority="39" operator="equal">
      <formula>"Partial"</formula>
    </cfRule>
    <cfRule type="cellIs" dxfId="236" priority="40" operator="equal">
      <formula>"Off"</formula>
    </cfRule>
  </conditionalFormatting>
  <conditionalFormatting sqref="Q5:Z5">
    <cfRule type="cellIs" dxfId="235" priority="33" operator="equal">
      <formula>"SOP"</formula>
    </cfRule>
    <cfRule type="cellIs" dxfId="234" priority="34" operator="equal">
      <formula>"Peak"</formula>
    </cfRule>
    <cfRule type="cellIs" dxfId="233" priority="35" operator="equal">
      <formula>"Partial"</formula>
    </cfRule>
    <cfRule type="cellIs" dxfId="232" priority="36" operator="equal">
      <formula>"Off"</formula>
    </cfRule>
  </conditionalFormatting>
  <conditionalFormatting sqref="AF3:AH4">
    <cfRule type="cellIs" dxfId="231" priority="25" operator="equal">
      <formula>"SOP"</formula>
    </cfRule>
    <cfRule type="cellIs" dxfId="230" priority="26" operator="equal">
      <formula>"Peak"</formula>
    </cfRule>
    <cfRule type="cellIs" dxfId="229" priority="27" operator="equal">
      <formula>"Partial"</formula>
    </cfRule>
    <cfRule type="cellIs" dxfId="228" priority="28" operator="equal">
      <formula>"Off"</formula>
    </cfRule>
  </conditionalFormatting>
  <conditionalFormatting sqref="AF5:AH5">
    <cfRule type="cellIs" dxfId="227" priority="21" operator="equal">
      <formula>"SOP"</formula>
    </cfRule>
    <cfRule type="cellIs" dxfId="226" priority="22" operator="equal">
      <formula>"Peak"</formula>
    </cfRule>
    <cfRule type="cellIs" dxfId="225" priority="23" operator="equal">
      <formula>"Partial"</formula>
    </cfRule>
    <cfRule type="cellIs" dxfId="224" priority="24" operator="equal">
      <formula>"Off"</formula>
    </cfRule>
  </conditionalFormatting>
  <conditionalFormatting sqref="Q4:T4">
    <cfRule type="cellIs" dxfId="223" priority="29" operator="equal">
      <formula>"SOP"</formula>
    </cfRule>
    <cfRule type="cellIs" dxfId="222" priority="30" operator="equal">
      <formula>"Peak"</formula>
    </cfRule>
    <cfRule type="cellIs" dxfId="221" priority="31" operator="equal">
      <formula>"Partial"</formula>
    </cfRule>
    <cfRule type="cellIs" dxfId="220" priority="32" operator="equal">
      <formula>"Off"</formula>
    </cfRule>
  </conditionalFormatting>
  <conditionalFormatting sqref="K10:AE11">
    <cfRule type="cellIs" dxfId="219" priority="17" operator="equal">
      <formula>"SOP"</formula>
    </cfRule>
    <cfRule type="cellIs" dxfId="218" priority="18" operator="equal">
      <formula>"Peak"</formula>
    </cfRule>
    <cfRule type="cellIs" dxfId="217" priority="19" operator="equal">
      <formula>"Partial"</formula>
    </cfRule>
    <cfRule type="cellIs" dxfId="216" priority="20" operator="equal">
      <formula>"Off"</formula>
    </cfRule>
  </conditionalFormatting>
  <conditionalFormatting sqref="AA12:AE12 K12:X12">
    <cfRule type="cellIs" dxfId="215" priority="13" operator="equal">
      <formula>"SOP"</formula>
    </cfRule>
    <cfRule type="cellIs" dxfId="214" priority="14" operator="equal">
      <formula>"Peak"</formula>
    </cfRule>
    <cfRule type="cellIs" dxfId="213" priority="15" operator="equal">
      <formula>"Partial"</formula>
    </cfRule>
    <cfRule type="cellIs" dxfId="212" priority="16" operator="equal">
      <formula>"Off"</formula>
    </cfRule>
  </conditionalFormatting>
  <conditionalFormatting sqref="Y12:Z12">
    <cfRule type="cellIs" dxfId="211" priority="9" operator="equal">
      <formula>"SOP"</formula>
    </cfRule>
    <cfRule type="cellIs" dxfId="210" priority="10" operator="equal">
      <formula>"Peak"</formula>
    </cfRule>
    <cfRule type="cellIs" dxfId="209" priority="11" operator="equal">
      <formula>"Partial"</formula>
    </cfRule>
    <cfRule type="cellIs" dxfId="208" priority="12" operator="equal">
      <formula>"Off"</formula>
    </cfRule>
  </conditionalFormatting>
  <conditionalFormatting sqref="AF10:AH11">
    <cfRule type="cellIs" dxfId="207" priority="5" operator="equal">
      <formula>"SOP"</formula>
    </cfRule>
    <cfRule type="cellIs" dxfId="206" priority="6" operator="equal">
      <formula>"Peak"</formula>
    </cfRule>
    <cfRule type="cellIs" dxfId="205" priority="7" operator="equal">
      <formula>"Partial"</formula>
    </cfRule>
    <cfRule type="cellIs" dxfId="204" priority="8" operator="equal">
      <formula>"Off"</formula>
    </cfRule>
  </conditionalFormatting>
  <conditionalFormatting sqref="AF12:AH12">
    <cfRule type="cellIs" dxfId="203" priority="1" operator="equal">
      <formula>"SOP"</formula>
    </cfRule>
    <cfRule type="cellIs" dxfId="202" priority="2" operator="equal">
      <formula>"Peak"</formula>
    </cfRule>
    <cfRule type="cellIs" dxfId="201" priority="3" operator="equal">
      <formula>"Partial"</formula>
    </cfRule>
    <cfRule type="cellIs" dxfId="200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B1:BU124"/>
  <sheetViews>
    <sheetView topLeftCell="A2" zoomScale="60" zoomScaleNormal="60" workbookViewId="0">
      <selection activeCell="H63" sqref="H63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19"/>
    </row>
    <row r="2" spans="2:62" ht="15" customHeight="1" x14ac:dyDescent="0.25">
      <c r="B2" s="353" t="s">
        <v>55</v>
      </c>
      <c r="C2" s="122"/>
      <c r="D2" s="388">
        <f>D12/D10/D8/D4</f>
        <v>35.714285714285715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57</v>
      </c>
      <c r="C3" s="124"/>
      <c r="D3" s="357">
        <f>(D2*D11)/D5</f>
        <v>2.5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59</v>
      </c>
      <c r="C4" s="124"/>
      <c r="D4" s="254">
        <v>3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60</v>
      </c>
      <c r="C5" s="124"/>
      <c r="D5" s="254">
        <v>20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62</v>
      </c>
      <c r="C6" s="124"/>
      <c r="D6" s="254">
        <f>D5*D4</f>
        <v>60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0.10416666666666669</v>
      </c>
      <c r="J7" s="129" t="s">
        <v>64</v>
      </c>
      <c r="K7" s="113">
        <f>P35</f>
        <v>60</v>
      </c>
      <c r="L7" s="113">
        <f>P36</f>
        <v>60</v>
      </c>
      <c r="M7" s="113">
        <f>P37</f>
        <v>30</v>
      </c>
      <c r="N7" s="113">
        <f>P38</f>
        <v>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BG7" s="16"/>
    </row>
    <row r="8" spans="2:62" ht="15" customHeight="1" thickBot="1" x14ac:dyDescent="0.3">
      <c r="B8" s="123" t="s">
        <v>65</v>
      </c>
      <c r="C8" s="124"/>
      <c r="D8" s="254">
        <v>7</v>
      </c>
      <c r="F8" s="108"/>
      <c r="K8" s="209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23" t="s">
        <v>69</v>
      </c>
      <c r="C11" s="124"/>
      <c r="D11" s="255">
        <v>1.4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354" t="s">
        <v>70</v>
      </c>
      <c r="C12" s="355"/>
      <c r="D12" s="356">
        <f>(K49/D11)/12</f>
        <v>3258.9285714285725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307">
        <f>P35</f>
        <v>60</v>
      </c>
      <c r="L14" s="307">
        <f>P36</f>
        <v>60</v>
      </c>
      <c r="M14" s="307">
        <f>P37</f>
        <v>30</v>
      </c>
      <c r="N14" s="307">
        <f>P38</f>
        <v>0</v>
      </c>
      <c r="O14" s="307">
        <f>P39</f>
        <v>0</v>
      </c>
      <c r="P14" s="307">
        <f>P40</f>
        <v>0</v>
      </c>
      <c r="Q14" s="307">
        <f>P41</f>
        <v>0</v>
      </c>
      <c r="R14" s="307">
        <f>P42</f>
        <v>0</v>
      </c>
      <c r="S14" s="307">
        <f>P43</f>
        <v>0</v>
      </c>
      <c r="T14" s="307">
        <f>P44</f>
        <v>0</v>
      </c>
      <c r="U14" s="307">
        <f>P45</f>
        <v>0</v>
      </c>
      <c r="V14" s="307">
        <f>P46</f>
        <v>0</v>
      </c>
      <c r="W14" s="307">
        <f>P47</f>
        <v>0</v>
      </c>
      <c r="X14" s="307">
        <f>P48</f>
        <v>0</v>
      </c>
      <c r="Y14" s="307">
        <f>P49</f>
        <v>0</v>
      </c>
      <c r="Z14" s="307">
        <f>P50</f>
        <v>0</v>
      </c>
      <c r="AA14" s="307">
        <f>P51</f>
        <v>0</v>
      </c>
      <c r="AB14" s="307">
        <f>P52</f>
        <v>0</v>
      </c>
      <c r="AC14" s="307">
        <f>P53</f>
        <v>0</v>
      </c>
      <c r="AD14" s="307">
        <f>P54</f>
        <v>0</v>
      </c>
      <c r="AE14" s="307">
        <f>P55</f>
        <v>0</v>
      </c>
      <c r="AF14" s="307">
        <f>P56</f>
        <v>0</v>
      </c>
      <c r="AG14" s="307">
        <f>P57</f>
        <v>0</v>
      </c>
      <c r="AH14" s="307">
        <f>P58</f>
        <v>0</v>
      </c>
    </row>
    <row r="15" spans="2:62" ht="15" customHeight="1" thickBot="1" x14ac:dyDescent="0.3">
      <c r="B15" s="138" t="s">
        <v>73</v>
      </c>
      <c r="C15" s="139"/>
      <c r="D15" s="258">
        <f>12-D13-D14</f>
        <v>5</v>
      </c>
    </row>
    <row r="16" spans="2:62" ht="15" customHeight="1" thickBot="1" x14ac:dyDescent="0.3">
      <c r="B16" s="140" t="s">
        <v>74</v>
      </c>
      <c r="C16" s="141"/>
      <c r="D16" s="259">
        <v>0.5</v>
      </c>
      <c r="J16" s="21" t="s">
        <v>75</v>
      </c>
    </row>
    <row r="17" spans="2:34" ht="15" customHeight="1" thickBot="1" x14ac:dyDescent="0.3">
      <c r="B17" s="143" t="s">
        <v>76</v>
      </c>
      <c r="C17" s="144"/>
      <c r="D17" s="260">
        <v>8</v>
      </c>
      <c r="J17" s="186" t="s">
        <v>3</v>
      </c>
    </row>
    <row r="18" spans="2:34" ht="15" customHeight="1" thickBot="1" x14ac:dyDescent="0.3">
      <c r="B18" s="143" t="s">
        <v>78</v>
      </c>
      <c r="C18" s="144"/>
      <c r="D18" s="261" t="s">
        <v>79</v>
      </c>
      <c r="E18" s="10" t="s">
        <v>77</v>
      </c>
      <c r="J18" s="142" t="s">
        <v>80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5">
        <f t="shared" ref="AA18:AH19" si="0">AA$7*5+AA$14*2</f>
        <v>0</v>
      </c>
      <c r="AB18" s="115">
        <f t="shared" si="0"/>
        <v>0</v>
      </c>
      <c r="AC18" s="115">
        <f t="shared" si="0"/>
        <v>0</v>
      </c>
      <c r="AD18" s="115">
        <f t="shared" si="0"/>
        <v>0</v>
      </c>
      <c r="AE18" s="115">
        <f t="shared" si="0"/>
        <v>0</v>
      </c>
      <c r="AF18" s="114"/>
      <c r="AG18" s="114"/>
      <c r="AH18" s="114"/>
    </row>
    <row r="19" spans="2:34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114"/>
      <c r="L19" s="114"/>
      <c r="M19" s="114"/>
      <c r="N19" s="114"/>
      <c r="O19" s="114"/>
      <c r="P19" s="114"/>
      <c r="Q19" s="242">
        <f>Q$7*5</f>
        <v>0</v>
      </c>
      <c r="R19" s="242">
        <f t="shared" ref="R19:X19" si="1">R$7*5</f>
        <v>0</v>
      </c>
      <c r="S19" s="242">
        <f t="shared" si="1"/>
        <v>0</v>
      </c>
      <c r="T19" s="242">
        <f t="shared" si="1"/>
        <v>0</v>
      </c>
      <c r="U19" s="242">
        <f t="shared" si="1"/>
        <v>0</v>
      </c>
      <c r="V19" s="242">
        <f t="shared" si="1"/>
        <v>0</v>
      </c>
      <c r="W19" s="242">
        <f t="shared" si="1"/>
        <v>0</v>
      </c>
      <c r="X19" s="242">
        <f t="shared" si="1"/>
        <v>0</v>
      </c>
      <c r="Y19" s="242">
        <f t="shared" ref="Y19:Z19" si="2">Y$7*5+Y$14*2</f>
        <v>0</v>
      </c>
      <c r="Z19" s="242">
        <f t="shared" si="2"/>
        <v>0</v>
      </c>
      <c r="AA19" s="114"/>
      <c r="AB19" s="114"/>
      <c r="AC19" s="114"/>
      <c r="AD19" s="114"/>
      <c r="AE19" s="114"/>
      <c r="AF19" s="242">
        <f>AF$7*5+AF$14*2</f>
        <v>0</v>
      </c>
      <c r="AG19" s="242">
        <f t="shared" si="0"/>
        <v>0</v>
      </c>
      <c r="AH19" s="242">
        <f t="shared" si="0"/>
        <v>0</v>
      </c>
    </row>
    <row r="20" spans="2:34" ht="15" customHeight="1" thickBot="1" x14ac:dyDescent="0.3">
      <c r="B20" s="232" t="s">
        <v>83</v>
      </c>
      <c r="C20" s="233"/>
      <c r="D20" s="263">
        <f>'Incumbent fuels'!C3</f>
        <v>3.9153333333333333</v>
      </c>
      <c r="E20" s="237"/>
      <c r="J20" s="146" t="s">
        <v>84</v>
      </c>
      <c r="K20" s="243">
        <f>K$7*5+K$14*2</f>
        <v>420</v>
      </c>
      <c r="L20" s="243">
        <f t="shared" ref="L20:P20" si="3">L$7*5+L$14*2</f>
        <v>420</v>
      </c>
      <c r="M20" s="243">
        <f t="shared" si="3"/>
        <v>210</v>
      </c>
      <c r="N20" s="243">
        <f t="shared" si="3"/>
        <v>0</v>
      </c>
      <c r="O20" s="243">
        <f t="shared" si="3"/>
        <v>0</v>
      </c>
      <c r="P20" s="243">
        <f t="shared" si="3"/>
        <v>0</v>
      </c>
      <c r="Q20" s="243">
        <f>Q$14*2</f>
        <v>0</v>
      </c>
      <c r="R20" s="243">
        <f t="shared" ref="R20:X20" si="4">R$14*2</f>
        <v>0</v>
      </c>
      <c r="S20" s="243">
        <f t="shared" si="4"/>
        <v>0</v>
      </c>
      <c r="T20" s="243">
        <f t="shared" si="4"/>
        <v>0</v>
      </c>
      <c r="U20" s="243">
        <f t="shared" si="4"/>
        <v>0</v>
      </c>
      <c r="V20" s="243">
        <f t="shared" si="4"/>
        <v>0</v>
      </c>
      <c r="W20" s="243">
        <f t="shared" si="4"/>
        <v>0</v>
      </c>
      <c r="X20" s="243">
        <f t="shared" si="4"/>
        <v>0</v>
      </c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</row>
    <row r="21" spans="2:34" ht="15" customHeight="1" thickBot="1" x14ac:dyDescent="0.3">
      <c r="B21" s="234" t="s">
        <v>85</v>
      </c>
      <c r="C21" s="235"/>
      <c r="D21" s="264">
        <v>8</v>
      </c>
    </row>
    <row r="22" spans="2:34" ht="15" customHeight="1" thickBot="1" x14ac:dyDescent="0.3">
      <c r="C22" s="376" t="s">
        <v>86</v>
      </c>
      <c r="D22" s="375">
        <f>IF(ROUND(D3,2)=O59,1,0)</f>
        <v>1</v>
      </c>
      <c r="J22" s="187" t="s">
        <v>4</v>
      </c>
    </row>
    <row r="23" spans="2:34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5">
        <f t="shared" ref="AA23:AH24" si="5">AA$7*5+AA$14*2</f>
        <v>0</v>
      </c>
      <c r="AB23" s="115">
        <f t="shared" si="5"/>
        <v>0</v>
      </c>
      <c r="AC23" s="115">
        <f t="shared" si="5"/>
        <v>0</v>
      </c>
      <c r="AD23" s="115">
        <f t="shared" si="5"/>
        <v>0</v>
      </c>
      <c r="AE23" s="115">
        <f t="shared" si="5"/>
        <v>0</v>
      </c>
      <c r="AF23" s="114"/>
      <c r="AG23" s="114"/>
      <c r="AH23" s="114"/>
    </row>
    <row r="24" spans="2:34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114"/>
      <c r="L24" s="114"/>
      <c r="M24" s="114"/>
      <c r="N24" s="114"/>
      <c r="O24" s="114"/>
      <c r="P24" s="114"/>
      <c r="Q24" s="242">
        <f t="shared" ref="Q24:Z24" si="6">Q$7*5+Q$14*2</f>
        <v>0</v>
      </c>
      <c r="R24" s="242">
        <f t="shared" si="6"/>
        <v>0</v>
      </c>
      <c r="S24" s="242">
        <f t="shared" si="6"/>
        <v>0</v>
      </c>
      <c r="T24" s="242">
        <f t="shared" ref="T24" si="7">T$7*5</f>
        <v>0</v>
      </c>
      <c r="U24" s="244"/>
      <c r="V24" s="244"/>
      <c r="W24" s="244"/>
      <c r="X24" s="244"/>
      <c r="Y24" s="242">
        <f t="shared" si="6"/>
        <v>0</v>
      </c>
      <c r="Z24" s="242">
        <f t="shared" si="6"/>
        <v>0</v>
      </c>
      <c r="AA24" s="114"/>
      <c r="AB24" s="114"/>
      <c r="AC24" s="114"/>
      <c r="AD24" s="114"/>
      <c r="AE24" s="114"/>
      <c r="AF24" s="242">
        <f>AF$7*5+AF$14*2</f>
        <v>0</v>
      </c>
      <c r="AG24" s="242">
        <f t="shared" si="5"/>
        <v>0</v>
      </c>
      <c r="AH24" s="242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243">
        <f t="shared" ref="K25:P25" si="8">K$7*5+K$14*2</f>
        <v>420</v>
      </c>
      <c r="L25" s="243">
        <f t="shared" si="8"/>
        <v>420</v>
      </c>
      <c r="M25" s="243">
        <f t="shared" si="8"/>
        <v>210</v>
      </c>
      <c r="N25" s="243">
        <f t="shared" si="8"/>
        <v>0</v>
      </c>
      <c r="O25" s="243">
        <f t="shared" si="8"/>
        <v>0</v>
      </c>
      <c r="P25" s="243">
        <f t="shared" si="8"/>
        <v>0</v>
      </c>
      <c r="Q25" s="243">
        <f>Q$14*2</f>
        <v>0</v>
      </c>
      <c r="R25" s="243">
        <f t="shared" ref="R25:T25" si="9">R$14*2</f>
        <v>0</v>
      </c>
      <c r="S25" s="243">
        <f t="shared" si="9"/>
        <v>0</v>
      </c>
      <c r="T25" s="243">
        <f t="shared" si="9"/>
        <v>0</v>
      </c>
      <c r="U25" s="243">
        <f>U$7*5+U$14*2</f>
        <v>0</v>
      </c>
      <c r="V25" s="243">
        <f t="shared" ref="V25:X25" si="10">V$7*5+V$14*2</f>
        <v>0</v>
      </c>
      <c r="W25" s="243">
        <f t="shared" si="10"/>
        <v>0</v>
      </c>
      <c r="X25" s="243">
        <f t="shared" si="10"/>
        <v>0</v>
      </c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</row>
    <row r="26" spans="2:34" ht="15" customHeight="1" thickBot="1" x14ac:dyDescent="0.3">
      <c r="B26" s="149" t="s">
        <v>89</v>
      </c>
      <c r="C26" s="96" t="s">
        <v>90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4" ht="15" customHeight="1" thickBot="1" x14ac:dyDescent="0.3">
      <c r="B27" s="149" t="s">
        <v>27</v>
      </c>
      <c r="C27" s="96" t="s">
        <v>90</v>
      </c>
      <c r="D27" s="97" t="s">
        <v>92</v>
      </c>
      <c r="E27" s="97" t="s">
        <v>92</v>
      </c>
      <c r="F27" s="97" t="s">
        <v>92</v>
      </c>
      <c r="G27" s="97" t="s">
        <v>92</v>
      </c>
      <c r="J27" s="188" t="s">
        <v>61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5">
        <f t="shared" ref="AA28:AH29" si="11">AA$7*5+AA$14*2</f>
        <v>0</v>
      </c>
      <c r="AB28" s="115">
        <f t="shared" si="11"/>
        <v>0</v>
      </c>
      <c r="AC28" s="115">
        <f t="shared" si="11"/>
        <v>0</v>
      </c>
      <c r="AD28" s="115">
        <f t="shared" si="11"/>
        <v>0</v>
      </c>
      <c r="AE28" s="115">
        <f t="shared" si="11"/>
        <v>0</v>
      </c>
      <c r="AF28" s="114"/>
      <c r="AG28" s="114"/>
      <c r="AH28" s="114"/>
    </row>
    <row r="29" spans="2:34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114"/>
      <c r="L29" s="114"/>
      <c r="M29" s="114"/>
      <c r="N29" s="114"/>
      <c r="O29" s="114"/>
      <c r="P29" s="114"/>
      <c r="Q29" s="242">
        <f t="shared" ref="Q29:W29" si="12">Q$7*5</f>
        <v>0</v>
      </c>
      <c r="R29" s="242">
        <f t="shared" si="12"/>
        <v>0</v>
      </c>
      <c r="S29" s="242">
        <f t="shared" si="12"/>
        <v>0</v>
      </c>
      <c r="T29" s="242">
        <f t="shared" si="12"/>
        <v>0</v>
      </c>
      <c r="U29" s="242">
        <f t="shared" si="12"/>
        <v>0</v>
      </c>
      <c r="V29" s="242">
        <f t="shared" si="12"/>
        <v>0</v>
      </c>
      <c r="W29" s="242">
        <f t="shared" si="12"/>
        <v>0</v>
      </c>
      <c r="X29" s="242">
        <f>X$7*5</f>
        <v>0</v>
      </c>
      <c r="Y29" s="242">
        <f t="shared" ref="Y29:Z29" si="13">Y$7*5+Y$14*2</f>
        <v>0</v>
      </c>
      <c r="Z29" s="242">
        <f t="shared" si="13"/>
        <v>0</v>
      </c>
      <c r="AA29" s="114"/>
      <c r="AB29" s="114"/>
      <c r="AC29" s="114"/>
      <c r="AD29" s="114"/>
      <c r="AE29" s="114"/>
      <c r="AF29" s="242">
        <f>AF$7*5+AF$14*2</f>
        <v>0</v>
      </c>
      <c r="AG29" s="242">
        <f t="shared" si="11"/>
        <v>0</v>
      </c>
      <c r="AH29" s="242">
        <f t="shared" si="11"/>
        <v>0</v>
      </c>
    </row>
    <row r="30" spans="2:34" ht="15" customHeight="1" thickBot="1" x14ac:dyDescent="0.3">
      <c r="B30" s="150" t="s">
        <v>93</v>
      </c>
      <c r="C30" s="96" t="s">
        <v>95</v>
      </c>
      <c r="D30" s="97">
        <f>ROUNDUP(($D$6-($D$29*25))/25,0)</f>
        <v>2</v>
      </c>
      <c r="E30" s="97">
        <f t="shared" ref="E30:G30" si="14">ROUNDUP(($D$6-($D$29*25))/25,0)</f>
        <v>2</v>
      </c>
      <c r="F30" s="97">
        <f t="shared" si="14"/>
        <v>2</v>
      </c>
      <c r="G30" s="97">
        <f t="shared" si="14"/>
        <v>2</v>
      </c>
      <c r="J30" s="146" t="s">
        <v>84</v>
      </c>
      <c r="K30" s="243">
        <f t="shared" ref="K30:P30" si="15">K$7*5+K$14*2</f>
        <v>420</v>
      </c>
      <c r="L30" s="243">
        <f t="shared" si="15"/>
        <v>420</v>
      </c>
      <c r="M30" s="243">
        <f t="shared" si="15"/>
        <v>210</v>
      </c>
      <c r="N30" s="243">
        <f t="shared" si="15"/>
        <v>0</v>
      </c>
      <c r="O30" s="243">
        <f t="shared" si="15"/>
        <v>0</v>
      </c>
      <c r="P30" s="243">
        <f t="shared" si="15"/>
        <v>0</v>
      </c>
      <c r="Q30" s="243">
        <f>Q$14*2</f>
        <v>0</v>
      </c>
      <c r="R30" s="243">
        <f t="shared" ref="R30:X30" si="16">R$14*2</f>
        <v>0</v>
      </c>
      <c r="S30" s="243">
        <f t="shared" si="16"/>
        <v>0</v>
      </c>
      <c r="T30" s="243">
        <f t="shared" si="16"/>
        <v>0</v>
      </c>
      <c r="U30" s="243">
        <f t="shared" si="16"/>
        <v>0</v>
      </c>
      <c r="V30" s="243">
        <f t="shared" si="16"/>
        <v>0</v>
      </c>
      <c r="W30" s="243">
        <f t="shared" si="16"/>
        <v>0</v>
      </c>
      <c r="X30" s="243">
        <f t="shared" si="16"/>
        <v>0</v>
      </c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201"/>
    </row>
    <row r="33" spans="2:16" ht="15" customHeight="1" thickBot="1" x14ac:dyDescent="0.3">
      <c r="B33" s="149" t="s">
        <v>80</v>
      </c>
      <c r="C33" s="98" t="s">
        <v>97</v>
      </c>
      <c r="D33" s="247">
        <v>0</v>
      </c>
      <c r="E33" s="101">
        <f>$D$33</f>
        <v>0</v>
      </c>
      <c r="F33" s="101">
        <f>$D$33</f>
        <v>0</v>
      </c>
      <c r="G33" s="101">
        <f>D33</f>
        <v>0</v>
      </c>
      <c r="J33" s="151" t="s">
        <v>98</v>
      </c>
      <c r="N33" s="14"/>
      <c r="O33" s="200" t="s">
        <v>99</v>
      </c>
      <c r="P33" s="202" t="s">
        <v>100</v>
      </c>
    </row>
    <row r="34" spans="2:16" ht="15" customHeight="1" thickBot="1" x14ac:dyDescent="0.3">
      <c r="B34" s="149" t="s">
        <v>101</v>
      </c>
      <c r="C34" s="98" t="s">
        <v>97</v>
      </c>
      <c r="D34" s="101">
        <f t="shared" ref="D34:G35" si="17">$D$6</f>
        <v>60</v>
      </c>
      <c r="E34" s="101">
        <f t="shared" si="17"/>
        <v>60</v>
      </c>
      <c r="F34" s="101">
        <f t="shared" si="17"/>
        <v>60</v>
      </c>
      <c r="G34" s="101">
        <f t="shared" si="17"/>
        <v>60</v>
      </c>
      <c r="J34" s="186" t="s">
        <v>3</v>
      </c>
      <c r="K34" s="153"/>
      <c r="L34" s="153"/>
      <c r="N34" s="14" t="s">
        <v>102</v>
      </c>
      <c r="O34" s="200" t="s">
        <v>103</v>
      </c>
      <c r="P34" s="202" t="s">
        <v>104</v>
      </c>
    </row>
    <row r="35" spans="2:16" ht="15" customHeight="1" x14ac:dyDescent="0.25">
      <c r="B35" s="149" t="s">
        <v>105</v>
      </c>
      <c r="C35" s="98" t="s">
        <v>97</v>
      </c>
      <c r="D35" s="101">
        <f t="shared" si="17"/>
        <v>60</v>
      </c>
      <c r="E35" s="101">
        <f t="shared" si="17"/>
        <v>60</v>
      </c>
      <c r="F35" s="101">
        <f t="shared" si="17"/>
        <v>60</v>
      </c>
      <c r="G35" s="101">
        <f t="shared" si="17"/>
        <v>60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03">
        <f>O35*$D$4*$D$5</f>
        <v>60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03">
        <f t="shared" ref="P36:P58" si="18">O36*$D$4*$D$5</f>
        <v>60</v>
      </c>
    </row>
    <row r="37" spans="2:16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22812.500000000004</v>
      </c>
      <c r="L37" s="129" t="s">
        <v>106</v>
      </c>
      <c r="N37" s="15">
        <v>8.3333333333333301E-2</v>
      </c>
      <c r="O37" s="211">
        <v>0.5</v>
      </c>
      <c r="P37" s="203">
        <f t="shared" si="18"/>
        <v>30</v>
      </c>
    </row>
    <row r="38" spans="2:16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1">
        <v>0</v>
      </c>
      <c r="P38" s="203">
        <f t="shared" si="18"/>
        <v>0</v>
      </c>
    </row>
    <row r="39" spans="2:16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1">
        <v>0</v>
      </c>
      <c r="P39" s="203">
        <f t="shared" si="18"/>
        <v>0</v>
      </c>
    </row>
    <row r="40" spans="2:16" ht="15" customHeight="1" x14ac:dyDescent="0.25">
      <c r="B40" s="100" t="s">
        <v>48</v>
      </c>
      <c r="C40" s="99" t="s">
        <v>106</v>
      </c>
      <c r="D40" s="101">
        <f>K37</f>
        <v>22812.500000000004</v>
      </c>
      <c r="E40" s="101">
        <f>K42</f>
        <v>9125.0000000000018</v>
      </c>
      <c r="F40" s="101">
        <f>K47</f>
        <v>22812.500000000004</v>
      </c>
      <c r="G40" s="101">
        <f t="shared" ref="G40" si="19">D40+E40+F40</f>
        <v>54750.000000000015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03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03">
        <f t="shared" si="18"/>
        <v>0</v>
      </c>
    </row>
    <row r="42" spans="2:16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9125.0000000000018</v>
      </c>
      <c r="L42" s="129" t="s">
        <v>106</v>
      </c>
      <c r="N42" s="15">
        <v>0.29166666666666702</v>
      </c>
      <c r="O42" s="211">
        <v>0</v>
      </c>
      <c r="P42" s="203">
        <f t="shared" si="18"/>
        <v>0</v>
      </c>
    </row>
    <row r="43" spans="2:16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03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03">
        <f t="shared" si="18"/>
        <v>0</v>
      </c>
    </row>
    <row r="45" spans="2:16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03">
        <f t="shared" si="18"/>
        <v>0</v>
      </c>
    </row>
    <row r="46" spans="2:16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03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22812.500000000004</v>
      </c>
      <c r="L47" s="129" t="s">
        <v>106</v>
      </c>
      <c r="N47" s="15">
        <v>0.5</v>
      </c>
      <c r="O47" s="211">
        <v>0</v>
      </c>
      <c r="P47" s="203">
        <f t="shared" si="18"/>
        <v>0</v>
      </c>
    </row>
    <row r="48" spans="2:16" ht="15" customHeight="1" thickBot="1" x14ac:dyDescent="0.3">
      <c r="B48" s="166" t="s">
        <v>89</v>
      </c>
      <c r="C48" s="167" t="s">
        <v>111</v>
      </c>
      <c r="D48" s="280">
        <f>'Rate Summary TOU-M and EV-HP'!$E$8*$D$13</f>
        <v>507.8</v>
      </c>
      <c r="E48" s="280">
        <f>'Rate Summary TOU-M and EV-HP'!$E$8*$D$14</f>
        <v>203.12</v>
      </c>
      <c r="F48" s="280">
        <f>'Rate Summary TOU-M and EV-HP'!$E$8*$D$15</f>
        <v>507.8</v>
      </c>
      <c r="G48" s="281">
        <f>SUM(D48:F48)</f>
        <v>1218.72</v>
      </c>
      <c r="N48" s="15">
        <v>0.54166666666666696</v>
      </c>
      <c r="O48" s="211">
        <v>0</v>
      </c>
      <c r="P48" s="203">
        <f t="shared" si="18"/>
        <v>0</v>
      </c>
    </row>
    <row r="49" spans="2:73" ht="15" customHeight="1" thickBot="1" x14ac:dyDescent="0.3">
      <c r="B49" s="166" t="s">
        <v>27</v>
      </c>
      <c r="C49" s="167" t="s">
        <v>111</v>
      </c>
      <c r="D49" s="281" t="s">
        <v>92</v>
      </c>
      <c r="E49" s="281" t="s">
        <v>92</v>
      </c>
      <c r="F49" s="281" t="s">
        <v>92</v>
      </c>
      <c r="G49" s="281" t="s">
        <v>92</v>
      </c>
      <c r="J49" s="163" t="s">
        <v>112</v>
      </c>
      <c r="K49" s="162">
        <f>SUM(K35:K47)</f>
        <v>54750.000000000015</v>
      </c>
      <c r="L49" s="161" t="s">
        <v>106</v>
      </c>
      <c r="N49" s="15">
        <v>0.58333333333333304</v>
      </c>
      <c r="O49" s="211">
        <v>0</v>
      </c>
      <c r="P49" s="203">
        <f t="shared" si="18"/>
        <v>0</v>
      </c>
    </row>
    <row r="50" spans="2:73" ht="15" customHeight="1" thickBot="1" x14ac:dyDescent="0.3">
      <c r="B50" s="166"/>
      <c r="C50" s="167"/>
      <c r="D50" s="281"/>
      <c r="E50" s="281"/>
      <c r="F50" s="281"/>
      <c r="G50" s="281"/>
      <c r="M50" s="159"/>
      <c r="N50" s="15">
        <v>0.625</v>
      </c>
      <c r="O50" s="211">
        <v>0</v>
      </c>
      <c r="P50" s="203">
        <f t="shared" si="18"/>
        <v>0</v>
      </c>
    </row>
    <row r="51" spans="2:73" ht="15" customHeight="1" thickBot="1" x14ac:dyDescent="0.3">
      <c r="B51" s="169"/>
      <c r="C51" s="167"/>
      <c r="D51" s="281"/>
      <c r="E51" s="281"/>
      <c r="F51" s="281"/>
      <c r="G51" s="281"/>
      <c r="J51" s="246" t="s">
        <v>113</v>
      </c>
      <c r="K51" s="153"/>
      <c r="L51" s="120"/>
      <c r="N51" s="15">
        <v>0.66666666666666696</v>
      </c>
      <c r="O51" s="211">
        <v>0</v>
      </c>
      <c r="P51" s="203">
        <f t="shared" si="18"/>
        <v>0</v>
      </c>
    </row>
    <row r="52" spans="2:73" ht="15" customHeight="1" x14ac:dyDescent="0.25">
      <c r="B52" s="169" t="s">
        <v>114</v>
      </c>
      <c r="C52" s="167" t="s">
        <v>111</v>
      </c>
      <c r="D52" s="281" t="s">
        <v>92</v>
      </c>
      <c r="E52" s="281" t="s">
        <v>92</v>
      </c>
      <c r="F52" s="281" t="s">
        <v>92</v>
      </c>
      <c r="G52" s="281" t="s">
        <v>92</v>
      </c>
      <c r="J52" s="145" t="s">
        <v>115</v>
      </c>
      <c r="K52" s="245">
        <f>D20*((D2*D4*D8*D10)/D21)</f>
        <v>1594.9739583333337</v>
      </c>
      <c r="L52" s="128" t="s">
        <v>116</v>
      </c>
      <c r="M52" s="159"/>
      <c r="N52" s="15">
        <v>0.70833333333333304</v>
      </c>
      <c r="O52" s="211">
        <v>0</v>
      </c>
      <c r="P52" s="203">
        <f t="shared" si="18"/>
        <v>0</v>
      </c>
    </row>
    <row r="53" spans="2:73" ht="15" customHeight="1" thickBot="1" x14ac:dyDescent="0.3">
      <c r="B53" s="169"/>
      <c r="C53" s="167"/>
      <c r="D53" s="281"/>
      <c r="E53" s="281"/>
      <c r="F53" s="281"/>
      <c r="G53" s="281"/>
      <c r="J53" s="146" t="s">
        <v>117</v>
      </c>
      <c r="K53" s="252">
        <f>K52/D12</f>
        <v>0.48941666666666661</v>
      </c>
      <c r="L53" s="238" t="s">
        <v>116</v>
      </c>
      <c r="N53" s="15">
        <v>0.75</v>
      </c>
      <c r="O53" s="211">
        <v>0</v>
      </c>
      <c r="P53" s="203">
        <f t="shared" si="18"/>
        <v>0</v>
      </c>
    </row>
    <row r="54" spans="2:73" ht="15" customHeight="1" x14ac:dyDescent="0.25">
      <c r="B54" s="169" t="s">
        <v>118</v>
      </c>
      <c r="C54" s="167"/>
      <c r="D54" s="281"/>
      <c r="E54" s="281"/>
      <c r="F54" s="281"/>
      <c r="G54" s="281"/>
      <c r="J54" s="127"/>
      <c r="K54" s="127"/>
      <c r="L54" s="127"/>
      <c r="N54" s="15">
        <v>0.79166666666666696</v>
      </c>
      <c r="O54" s="211">
        <v>0</v>
      </c>
      <c r="P54" s="203">
        <f t="shared" si="18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EV-HP'!$E12*$D$13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>SUM(D55:F55)</f>
        <v>0</v>
      </c>
      <c r="N55" s="15">
        <v>0.83333333333333304</v>
      </c>
      <c r="O55" s="211">
        <v>0</v>
      </c>
      <c r="P55" s="203">
        <f t="shared" si="18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666.00000000000011</v>
      </c>
      <c r="E56" s="280">
        <f>E34*'Rate Summary TOU-M and EV-HP'!$E14*$D$14</f>
        <v>266.40000000000003</v>
      </c>
      <c r="F56" s="280">
        <f>F34*'Rate Summary TOU-M and EV-HP'!$E14*$D$15</f>
        <v>666.00000000000011</v>
      </c>
      <c r="G56" s="281">
        <f>SUM(D56:F56)</f>
        <v>1598.4</v>
      </c>
      <c r="N56" s="15">
        <v>0.875</v>
      </c>
      <c r="O56" s="211">
        <v>0</v>
      </c>
      <c r="P56" s="203">
        <f t="shared" si="18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03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0"/>
      <c r="E58" s="280"/>
      <c r="F58" s="280"/>
      <c r="G58" s="280"/>
      <c r="N58" s="15">
        <v>0.95833333333333304</v>
      </c>
      <c r="O58" s="211">
        <v>0</v>
      </c>
      <c r="P58" s="203">
        <f t="shared" si="18"/>
        <v>0</v>
      </c>
      <c r="BR58" s="1"/>
      <c r="BS58" s="109"/>
      <c r="BT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0"/>
      <c r="N59" s="183"/>
      <c r="O59" s="358">
        <f>SUM(O35:O58)</f>
        <v>2.5</v>
      </c>
      <c r="P59" s="204">
        <f>SUM(P35:P58)</f>
        <v>150</v>
      </c>
      <c r="BR59" s="1"/>
      <c r="BS59" s="109"/>
      <c r="BT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 t="shared" ref="G60" si="20">SUM(D60:F60)</f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>SUM(D61:F61)</f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3992.8718750000012</v>
      </c>
      <c r="E62" s="280">
        <f>K42*'Rate Summary TOU-M and EV-HP'!$E26</f>
        <v>1607.9162500000004</v>
      </c>
      <c r="F62" s="280">
        <f>K47*'Rate Summary TOU-M and EV-HP'!$E26</f>
        <v>4019.7906250000005</v>
      </c>
      <c r="G62" s="281">
        <f>SUM(D62:F62)</f>
        <v>9620.5787500000024</v>
      </c>
      <c r="J62" s="397" t="s">
        <v>139</v>
      </c>
      <c r="Q62" s="210"/>
      <c r="BS62" s="1"/>
      <c r="BT62" s="109"/>
      <c r="BU62" s="156"/>
    </row>
    <row r="63" spans="2:73" x14ac:dyDescent="0.25">
      <c r="B63" s="166"/>
      <c r="C63" s="166"/>
      <c r="D63" s="292"/>
      <c r="E63" s="292"/>
      <c r="F63" s="292"/>
      <c r="G63" s="292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 t="shared" ref="G64:G65" si="21">SUM(D64:F64)</f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 t="shared" si="21"/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125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67">
        <f>SUM(D48:D65)</f>
        <v>5166.6718750000018</v>
      </c>
      <c r="E67" s="267">
        <f>SUM(E48:E65)</f>
        <v>2077.4362500000007</v>
      </c>
      <c r="F67" s="267">
        <f>SUM(F48:F65)</f>
        <v>5193.5906250000007</v>
      </c>
      <c r="G67" s="267">
        <f>SUM(G48:G65)</f>
        <v>12437.698750000003</v>
      </c>
      <c r="J67" s="230" t="s">
        <v>126</v>
      </c>
      <c r="BS67" s="1"/>
      <c r="BT67" s="109"/>
      <c r="BU67" s="156"/>
    </row>
    <row r="68" spans="2:73" x14ac:dyDescent="0.25">
      <c r="B68" s="189" t="s">
        <v>127</v>
      </c>
      <c r="C68" s="190"/>
      <c r="D68" s="191">
        <f>D67/5</f>
        <v>1033.3343750000004</v>
      </c>
      <c r="E68" s="271">
        <f>E67/2</f>
        <v>1038.7181250000003</v>
      </c>
      <c r="F68" s="191">
        <f>F67/5</f>
        <v>1038.7181250000001</v>
      </c>
      <c r="G68" s="272">
        <f>G67/12</f>
        <v>1036.4748958333337</v>
      </c>
      <c r="H68" s="197"/>
      <c r="J68" s="10" t="s">
        <v>140</v>
      </c>
    </row>
    <row r="69" spans="2:73" x14ac:dyDescent="0.25">
      <c r="B69" s="273" t="s">
        <v>9</v>
      </c>
      <c r="C69" s="268"/>
      <c r="D69" s="172">
        <f>D67/(D38+D39+D40)</f>
        <v>0.2264842465753425</v>
      </c>
      <c r="E69" s="269">
        <f t="shared" ref="E69:F69" si="22">E67/(E38+E39+E40)</f>
        <v>0.22766424657534248</v>
      </c>
      <c r="F69" s="172">
        <f t="shared" si="22"/>
        <v>0.22766424657534245</v>
      </c>
      <c r="G69" s="274">
        <f>G67/(G38+G39+G40)</f>
        <v>0.22717257990867579</v>
      </c>
      <c r="H69" s="197"/>
      <c r="J69" s="10" t="s">
        <v>141</v>
      </c>
    </row>
    <row r="70" spans="2:73" ht="15.75" thickBot="1" x14ac:dyDescent="0.3">
      <c r="B70" s="275" t="s">
        <v>129</v>
      </c>
      <c r="C70" s="276"/>
      <c r="D70" s="278">
        <f>D69*$D$11</f>
        <v>0.31707794520547949</v>
      </c>
      <c r="E70" s="278">
        <f t="shared" ref="E70:G70" si="23">E69*$D$11</f>
        <v>0.31872994520547948</v>
      </c>
      <c r="F70" s="278">
        <f t="shared" si="23"/>
        <v>0.31872994520547943</v>
      </c>
      <c r="G70" s="278">
        <f t="shared" si="23"/>
        <v>0.31804161187214608</v>
      </c>
      <c r="J70" s="10" t="s">
        <v>142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88</v>
      </c>
      <c r="C73" s="106" t="s">
        <v>20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14"/>
      <c r="C74" s="315"/>
      <c r="D74" s="314"/>
      <c r="E74" s="316"/>
      <c r="F74" s="316"/>
      <c r="G74" s="314"/>
      <c r="AV74" s="156"/>
      <c r="AW74" s="156"/>
      <c r="AX74" s="156"/>
      <c r="AY74" s="156"/>
    </row>
    <row r="75" spans="2:73" x14ac:dyDescent="0.25">
      <c r="B75" s="149" t="s">
        <v>89</v>
      </c>
      <c r="C75" s="96" t="s">
        <v>111</v>
      </c>
      <c r="D75" s="322">
        <f>'Rate Summary TOU-M and EV-HP'!$I$7*$D$13</f>
        <v>931.52</v>
      </c>
      <c r="E75" s="322">
        <f>'Rate Summary TOU-M and EV-HP'!$I$7*$D$14</f>
        <v>372.608</v>
      </c>
      <c r="F75" s="322">
        <f>'Rate Summary TOU-M and EV-HP'!$I$7*$D$15</f>
        <v>931.52</v>
      </c>
      <c r="G75" s="322">
        <f>SUM(D75:F75)</f>
        <v>2235.6480000000001</v>
      </c>
    </row>
    <row r="76" spans="2:73" x14ac:dyDescent="0.25">
      <c r="B76" s="149" t="s">
        <v>27</v>
      </c>
      <c r="C76" s="96" t="s">
        <v>111</v>
      </c>
      <c r="D76" s="318" t="s">
        <v>92</v>
      </c>
      <c r="E76" s="319" t="s">
        <v>92</v>
      </c>
      <c r="F76" s="319" t="s">
        <v>92</v>
      </c>
      <c r="G76" s="318" t="s">
        <v>92</v>
      </c>
    </row>
    <row r="77" spans="2:73" x14ac:dyDescent="0.25">
      <c r="B77" s="150"/>
      <c r="C77" s="96"/>
      <c r="D77" s="178"/>
      <c r="E77" s="178"/>
      <c r="F77" s="178"/>
      <c r="G77" s="179"/>
    </row>
    <row r="78" spans="2:73" x14ac:dyDescent="0.25">
      <c r="B78" s="150" t="s">
        <v>130</v>
      </c>
      <c r="C78" s="96" t="s">
        <v>111</v>
      </c>
      <c r="D78" s="282">
        <f>(D29*'Rate Summary TOU-M and EV-HP'!$I$10+D30*'Rate Summary TOU-M and EV-HP'!$I$11)*$D$13</f>
        <v>2850.1</v>
      </c>
      <c r="E78" s="282">
        <f>(E29*'Rate Summary TOU-M and EV-HP'!$I$10+E30*'Rate Summary TOU-M and EV-HP'!$I$11)*$D$14</f>
        <v>1140.04</v>
      </c>
      <c r="F78" s="282">
        <f>(F29*'Rate Summary TOU-M and EV-HP'!$I$10+F30*'Rate Summary TOU-M and EV-HP'!$I$11)*$D$15</f>
        <v>2850.1</v>
      </c>
      <c r="G78" s="283">
        <f>SUM(D78:F78)</f>
        <v>6840.24</v>
      </c>
    </row>
    <row r="79" spans="2:73" x14ac:dyDescent="0.25">
      <c r="B79" s="150"/>
      <c r="C79" s="96"/>
      <c r="D79" s="283"/>
      <c r="E79" s="283"/>
      <c r="F79" s="283"/>
      <c r="G79" s="283"/>
    </row>
    <row r="80" spans="2:73" x14ac:dyDescent="0.25">
      <c r="B80" s="150" t="s">
        <v>118</v>
      </c>
      <c r="C80" s="96"/>
      <c r="D80" s="283"/>
      <c r="E80" s="283"/>
      <c r="F80" s="283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282" t="s">
        <v>92</v>
      </c>
      <c r="G81" s="318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282" t="s">
        <v>92</v>
      </c>
      <c r="G82" s="318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282" t="s">
        <v>92</v>
      </c>
      <c r="G83" s="318" t="s">
        <v>92</v>
      </c>
    </row>
    <row r="84" spans="2:56" x14ac:dyDescent="0.25">
      <c r="B84" s="149"/>
      <c r="C84" s="149"/>
      <c r="D84" s="282"/>
      <c r="E84" s="282"/>
      <c r="F84" s="282"/>
      <c r="G84" s="282"/>
    </row>
    <row r="85" spans="2:56" x14ac:dyDescent="0.25">
      <c r="B85" s="100" t="s">
        <v>119</v>
      </c>
      <c r="C85" s="100"/>
      <c r="D85" s="282"/>
      <c r="E85" s="282"/>
      <c r="F85" s="282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282">
        <f>F38*'Rate Summary TOU-M and EV-HP'!$I21</f>
        <v>0</v>
      </c>
      <c r="G86" s="283">
        <f t="shared" ref="G86:G88" si="24"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282">
        <f>F39*'Rate Summary TOU-M and EV-HP'!$I22</f>
        <v>0</v>
      </c>
      <c r="G87" s="283">
        <f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2514.3937500000002</v>
      </c>
      <c r="E88" s="282">
        <f>E40*'Rate Summary TOU-M and EV-HP'!$I23</f>
        <v>1016.5250000000002</v>
      </c>
      <c r="F88" s="282">
        <f>F40*'Rate Summary TOU-M and EV-HP'!$I23</f>
        <v>2541.3125000000005</v>
      </c>
      <c r="G88" s="283">
        <f t="shared" si="24"/>
        <v>6072.2312500000007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108</v>
      </c>
      <c r="C90" s="96" t="s">
        <v>111</v>
      </c>
      <c r="D90" s="178">
        <v>0</v>
      </c>
      <c r="E90" s="178">
        <v>0</v>
      </c>
      <c r="F90" s="178">
        <v>0</v>
      </c>
      <c r="G90" s="179">
        <f t="shared" ref="G90:G91" si="25">SUM(D90:F90)</f>
        <v>0</v>
      </c>
    </row>
    <row r="91" spans="2:56" ht="15.75" thickBot="1" x14ac:dyDescent="0.3">
      <c r="B91" s="102" t="s">
        <v>44</v>
      </c>
      <c r="C91" s="180" t="s">
        <v>111</v>
      </c>
      <c r="D91" s="181">
        <v>0</v>
      </c>
      <c r="E91" s="181">
        <v>0</v>
      </c>
      <c r="F91" s="181">
        <v>0</v>
      </c>
      <c r="G91" s="182">
        <f t="shared" si="25"/>
        <v>0</v>
      </c>
    </row>
    <row r="92" spans="2:56" ht="15.75" thickBot="1" x14ac:dyDescent="0.3"/>
    <row r="93" spans="2:56" ht="15.75" thickBot="1" x14ac:dyDescent="0.3">
      <c r="B93" s="266" t="s">
        <v>7</v>
      </c>
      <c r="C93" s="190"/>
      <c r="D93" s="267">
        <f>SUM(D75:D91)</f>
        <v>6296.0137500000001</v>
      </c>
      <c r="E93" s="267">
        <f t="shared" ref="E93" si="26">SUM(E75:E91)</f>
        <v>2529.1730000000002</v>
      </c>
      <c r="F93" s="267">
        <f>SUM(F75:F91)</f>
        <v>6322.9325000000008</v>
      </c>
      <c r="G93" s="267">
        <f>SUM(G75:G91)</f>
        <v>15148.11925</v>
      </c>
    </row>
    <row r="94" spans="2:56" x14ac:dyDescent="0.25">
      <c r="B94" s="189" t="s">
        <v>8</v>
      </c>
      <c r="C94" s="190"/>
      <c r="D94" s="191">
        <f>D93/5</f>
        <v>1259.2027499999999</v>
      </c>
      <c r="E94" s="191">
        <f>E93/2</f>
        <v>1264.5865000000001</v>
      </c>
      <c r="F94" s="191">
        <f>F93/5</f>
        <v>1264.5865000000001</v>
      </c>
      <c r="G94" s="272">
        <f>G93/12</f>
        <v>1262.3432708333332</v>
      </c>
    </row>
    <row r="95" spans="2:56" x14ac:dyDescent="0.25">
      <c r="B95" s="273" t="s">
        <v>9</v>
      </c>
      <c r="C95" s="268"/>
      <c r="D95" s="172">
        <f>D93/(D38+D39+D40)</f>
        <v>0.27598964383561642</v>
      </c>
      <c r="E95" s="172">
        <f>E93/(E38+E39+E40)</f>
        <v>0.27716964383561643</v>
      </c>
      <c r="F95" s="172">
        <f>F93/(F38+F39+F40)</f>
        <v>0.27716964383561643</v>
      </c>
      <c r="G95" s="274">
        <f>G93/(G38+G39+G40)</f>
        <v>0.27667797716894971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0.38638550136986294</v>
      </c>
      <c r="E96" s="285">
        <f t="shared" ref="E96:G96" si="27">E95*$D$11</f>
        <v>0.38803750136986298</v>
      </c>
      <c r="F96" s="285">
        <f t="shared" si="27"/>
        <v>0.38803750136986298</v>
      </c>
      <c r="G96" s="285">
        <f t="shared" si="27"/>
        <v>0.38734916803652958</v>
      </c>
      <c r="H96" s="240"/>
    </row>
    <row r="97" spans="2:45" ht="15.75" thickBot="1" x14ac:dyDescent="0.3">
      <c r="B97" s="157" t="s">
        <v>131</v>
      </c>
      <c r="C97" s="158"/>
      <c r="D97" s="286">
        <f>(D69-D95)/D69</f>
        <v>-0.21858207804225976</v>
      </c>
      <c r="E97" s="286">
        <f>(E69-E95)/E69</f>
        <v>-0.21744915156842948</v>
      </c>
      <c r="F97" s="286">
        <f>(F69-F95)/F69</f>
        <v>-0.21744915156842962</v>
      </c>
      <c r="G97" s="196">
        <f>(G69-G95)/G69</f>
        <v>-0.21791977394532067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f>$D$16</f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149" t="s">
        <v>89</v>
      </c>
      <c r="C102" s="96" t="s">
        <v>111</v>
      </c>
      <c r="D102" s="322">
        <f>D75</f>
        <v>931.52</v>
      </c>
      <c r="E102" s="322">
        <f t="shared" ref="E102:F102" si="28">E75</f>
        <v>372.608</v>
      </c>
      <c r="F102" s="322">
        <f t="shared" si="28"/>
        <v>931.52</v>
      </c>
      <c r="G102" s="322">
        <f>SUM(D102:F102)</f>
        <v>2235.6480000000001</v>
      </c>
      <c r="O102" s="197"/>
      <c r="P102" s="197"/>
      <c r="Q102" s="207"/>
      <c r="AS102" s="108"/>
    </row>
    <row r="103" spans="2:45" x14ac:dyDescent="0.25">
      <c r="B103" s="149" t="s">
        <v>27</v>
      </c>
      <c r="C103" s="96" t="s">
        <v>111</v>
      </c>
      <c r="D103" s="318" t="s">
        <v>92</v>
      </c>
      <c r="E103" s="319" t="s">
        <v>92</v>
      </c>
      <c r="F103" s="319" t="s">
        <v>92</v>
      </c>
      <c r="G103" s="318" t="s">
        <v>92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130</v>
      </c>
      <c r="C105" s="96" t="s">
        <v>111</v>
      </c>
      <c r="D105" s="282">
        <f>D78*(1-$D$99)</f>
        <v>1425.05</v>
      </c>
      <c r="E105" s="282">
        <f>E78*(1-$D$99)</f>
        <v>570.02</v>
      </c>
      <c r="F105" s="282">
        <f>F78*(1-$D$99)</f>
        <v>1425.05</v>
      </c>
      <c r="G105" s="282">
        <f>G78*(1-$D$99)</f>
        <v>3420.12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G110" si="29">D81</f>
        <v>NA</v>
      </c>
      <c r="E108" s="282" t="str">
        <f t="shared" si="29"/>
        <v>NA</v>
      </c>
      <c r="F108" s="282" t="str">
        <f t="shared" si="29"/>
        <v>NA</v>
      </c>
      <c r="G108" s="283" t="str">
        <f t="shared" si="29"/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29"/>
        <v>NA</v>
      </c>
      <c r="E109" s="282" t="str">
        <f t="shared" si="29"/>
        <v>NA</v>
      </c>
      <c r="F109" s="282" t="str">
        <f t="shared" si="29"/>
        <v>NA</v>
      </c>
      <c r="G109" s="283" t="str">
        <f t="shared" si="29"/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29"/>
        <v>NA</v>
      </c>
      <c r="E110" s="282" t="str">
        <f t="shared" si="29"/>
        <v>NA</v>
      </c>
      <c r="F110" s="282" t="str">
        <f t="shared" si="29"/>
        <v>NA</v>
      </c>
      <c r="G110" s="283" t="str">
        <f t="shared" si="29"/>
        <v>NA</v>
      </c>
    </row>
    <row r="111" spans="2:45" x14ac:dyDescent="0.25">
      <c r="B111" s="149"/>
      <c r="C111" s="149"/>
      <c r="D111" s="282"/>
      <c r="E111" s="282"/>
      <c r="F111" s="282"/>
      <c r="G111" s="282"/>
    </row>
    <row r="112" spans="2:45" x14ac:dyDescent="0.25">
      <c r="B112" s="100" t="s">
        <v>119</v>
      </c>
      <c r="C112" s="100"/>
      <c r="D112" s="282"/>
      <c r="E112" s="282"/>
      <c r="F112" s="282"/>
      <c r="G112" s="282"/>
    </row>
    <row r="113" spans="2:14" x14ac:dyDescent="0.25">
      <c r="B113" s="100" t="s">
        <v>45</v>
      </c>
      <c r="C113" s="96" t="s">
        <v>111</v>
      </c>
      <c r="D113" s="282">
        <f t="shared" ref="D113:G115" si="30">D86</f>
        <v>0</v>
      </c>
      <c r="E113" s="282">
        <f t="shared" si="30"/>
        <v>0</v>
      </c>
      <c r="F113" s="282">
        <f t="shared" si="30"/>
        <v>0</v>
      </c>
      <c r="G113" s="283">
        <f t="shared" si="30"/>
        <v>0</v>
      </c>
    </row>
    <row r="114" spans="2:14" x14ac:dyDescent="0.25">
      <c r="B114" s="100" t="s">
        <v>46</v>
      </c>
      <c r="C114" s="96" t="s">
        <v>111</v>
      </c>
      <c r="D114" s="282">
        <f t="shared" si="30"/>
        <v>0</v>
      </c>
      <c r="E114" s="282">
        <f t="shared" si="30"/>
        <v>0</v>
      </c>
      <c r="F114" s="282">
        <f t="shared" si="30"/>
        <v>0</v>
      </c>
      <c r="G114" s="283">
        <f t="shared" si="30"/>
        <v>0</v>
      </c>
    </row>
    <row r="115" spans="2:14" x14ac:dyDescent="0.25">
      <c r="B115" s="100" t="s">
        <v>48</v>
      </c>
      <c r="C115" s="96" t="s">
        <v>111</v>
      </c>
      <c r="D115" s="282">
        <f t="shared" si="30"/>
        <v>2514.3937500000002</v>
      </c>
      <c r="E115" s="282">
        <f t="shared" si="30"/>
        <v>1016.5250000000002</v>
      </c>
      <c r="F115" s="282">
        <f t="shared" si="30"/>
        <v>2541.3125000000005</v>
      </c>
      <c r="G115" s="283">
        <f t="shared" si="30"/>
        <v>6072.2312500000007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5" t="s">
        <v>134</v>
      </c>
      <c r="L116" s="385" t="s">
        <v>135</v>
      </c>
      <c r="M116" s="385" t="s">
        <v>136</v>
      </c>
      <c r="N116" s="385" t="s">
        <v>137</v>
      </c>
    </row>
    <row r="117" spans="2:14" x14ac:dyDescent="0.25">
      <c r="B117" s="100" t="s">
        <v>108</v>
      </c>
      <c r="C117" s="96" t="s">
        <v>111</v>
      </c>
      <c r="D117" s="178">
        <f t="shared" ref="D117:G118" si="31">D90</f>
        <v>0</v>
      </c>
      <c r="E117" s="178">
        <f t="shared" si="31"/>
        <v>0</v>
      </c>
      <c r="F117" s="178">
        <f t="shared" si="31"/>
        <v>0</v>
      </c>
      <c r="G117" s="179">
        <f t="shared" si="31"/>
        <v>0</v>
      </c>
      <c r="J117" s="10" t="s">
        <v>23</v>
      </c>
      <c r="K117" s="383">
        <f>D48/5</f>
        <v>101.56</v>
      </c>
      <c r="L117" s="383">
        <f>D75/5</f>
        <v>186.304</v>
      </c>
      <c r="M117" s="383">
        <f>L117</f>
        <v>186.304</v>
      </c>
      <c r="N117" s="383">
        <v>0</v>
      </c>
    </row>
    <row r="118" spans="2:14" ht="15.75" thickBot="1" x14ac:dyDescent="0.3">
      <c r="B118" s="102" t="s">
        <v>44</v>
      </c>
      <c r="C118" s="180" t="s">
        <v>111</v>
      </c>
      <c r="D118" s="181">
        <f t="shared" si="31"/>
        <v>0</v>
      </c>
      <c r="E118" s="181">
        <f t="shared" si="31"/>
        <v>0</v>
      </c>
      <c r="F118" s="181">
        <f t="shared" si="31"/>
        <v>0</v>
      </c>
      <c r="G118" s="182">
        <f t="shared" si="31"/>
        <v>0</v>
      </c>
      <c r="J118" s="10" t="s">
        <v>32</v>
      </c>
      <c r="K118" s="383">
        <f>(D55+D56)/5</f>
        <v>133.20000000000002</v>
      </c>
      <c r="L118" s="383">
        <v>0</v>
      </c>
      <c r="M118" s="383">
        <f t="shared" ref="M118:M120" si="32">L118</f>
        <v>0</v>
      </c>
      <c r="N118" s="383">
        <v>0</v>
      </c>
    </row>
    <row r="119" spans="2:14" ht="15.75" thickBot="1" x14ac:dyDescent="0.3">
      <c r="J119" s="10" t="s">
        <v>132</v>
      </c>
      <c r="K119" s="383">
        <v>0</v>
      </c>
      <c r="L119" s="383">
        <f>(D78)/5</f>
        <v>570.02</v>
      </c>
      <c r="M119" s="383">
        <f>L119*D16</f>
        <v>285.01</v>
      </c>
      <c r="N119" s="383">
        <v>0</v>
      </c>
    </row>
    <row r="120" spans="2:14" ht="15.75" thickBot="1" x14ac:dyDescent="0.3">
      <c r="B120" s="266" t="s">
        <v>7</v>
      </c>
      <c r="C120" s="190"/>
      <c r="D120" s="279">
        <f>SUM(D102:D118)</f>
        <v>4870.9637499999999</v>
      </c>
      <c r="E120" s="279">
        <f t="shared" ref="E120:G120" si="33">SUM(E102:E118)</f>
        <v>1959.1530000000002</v>
      </c>
      <c r="F120" s="279">
        <f t="shared" si="33"/>
        <v>4897.8824999999997</v>
      </c>
      <c r="G120" s="279">
        <f t="shared" si="33"/>
        <v>11727.999250000001</v>
      </c>
      <c r="J120" s="10" t="s">
        <v>138</v>
      </c>
      <c r="K120" s="383">
        <f>(D60+D61+D62)/5</f>
        <v>798.57437500000026</v>
      </c>
      <c r="L120" s="383">
        <f>(D86+D87+D88)/5</f>
        <v>502.87875000000003</v>
      </c>
      <c r="M120" s="383">
        <f t="shared" si="32"/>
        <v>502.87875000000003</v>
      </c>
      <c r="N120" s="383">
        <v>0</v>
      </c>
    </row>
    <row r="121" spans="2:14" x14ac:dyDescent="0.25">
      <c r="B121" s="189" t="s">
        <v>8</v>
      </c>
      <c r="C121" s="190"/>
      <c r="D121" s="279">
        <f>D120/5</f>
        <v>974.19274999999993</v>
      </c>
      <c r="E121" s="290">
        <f>E120/2</f>
        <v>979.57650000000012</v>
      </c>
      <c r="F121" s="279">
        <f>F120/5</f>
        <v>979.5764999999999</v>
      </c>
      <c r="G121" s="291">
        <f>G120/12</f>
        <v>977.33327083333336</v>
      </c>
      <c r="J121" s="381" t="s">
        <v>137</v>
      </c>
      <c r="K121" s="384">
        <v>0</v>
      </c>
      <c r="L121" s="384">
        <v>0</v>
      </c>
      <c r="M121" s="384">
        <v>0</v>
      </c>
      <c r="N121" s="384">
        <f>K52</f>
        <v>1594.9739583333337</v>
      </c>
    </row>
    <row r="122" spans="2:14" x14ac:dyDescent="0.25">
      <c r="B122" s="273" t="s">
        <v>9</v>
      </c>
      <c r="C122" s="268"/>
      <c r="D122" s="172">
        <f>D120/(D38+D39+D40)</f>
        <v>0.21352169863013695</v>
      </c>
      <c r="E122" s="269">
        <f>E120/(E38+E39+E40)</f>
        <v>0.21470169863013697</v>
      </c>
      <c r="F122" s="172">
        <f>F120/(F38+F39+F40)</f>
        <v>0.21470169863013694</v>
      </c>
      <c r="G122" s="274">
        <f>G120/(G38+G39+G40)</f>
        <v>0.21421003196347027</v>
      </c>
      <c r="J122" s="151" t="s">
        <v>7</v>
      </c>
      <c r="K122" s="380">
        <f>SUM(K117:K121)</f>
        <v>1033.3343750000004</v>
      </c>
      <c r="L122" s="380">
        <f>SUM(L117:L121)</f>
        <v>1259.2027499999999</v>
      </c>
      <c r="M122" s="380">
        <f>SUM(M117:M121)</f>
        <v>974.19274999999993</v>
      </c>
      <c r="N122" s="380">
        <f>SUM(N117:N121)</f>
        <v>1594.9739583333337</v>
      </c>
    </row>
    <row r="123" spans="2:14" x14ac:dyDescent="0.25">
      <c r="B123" s="284" t="s">
        <v>129</v>
      </c>
      <c r="C123" s="270"/>
      <c r="D123" s="285">
        <f>D122*$D$11</f>
        <v>0.29893037808219169</v>
      </c>
      <c r="E123" s="285">
        <f t="shared" ref="E123:G123" si="34">E122*$D$11</f>
        <v>0.30058237808219174</v>
      </c>
      <c r="F123" s="285">
        <f t="shared" si="34"/>
        <v>0.30058237808219168</v>
      </c>
      <c r="G123" s="285">
        <f t="shared" si="34"/>
        <v>0.29989404474885833</v>
      </c>
    </row>
    <row r="124" spans="2:14" ht="15.75" thickBot="1" x14ac:dyDescent="0.3">
      <c r="B124" s="157" t="s">
        <v>131</v>
      </c>
      <c r="C124" s="158"/>
      <c r="D124" s="286">
        <f>(D69-D122)/D69</f>
        <v>5.7233772949825928E-2</v>
      </c>
      <c r="E124" s="195">
        <f>(E69-E122)/E69</f>
        <v>5.6937126229505391E-2</v>
      </c>
      <c r="F124" s="286">
        <f>(F69-F122)/F69</f>
        <v>5.6937126229505398E-2</v>
      </c>
      <c r="G124" s="196">
        <f>(G69-G122)/G69</f>
        <v>5.7060354512928048E-2</v>
      </c>
      <c r="H124" s="241"/>
    </row>
  </sheetData>
  <dataConsolidate/>
  <conditionalFormatting sqref="K3:AE3 K4:P4 U4:AE4">
    <cfRule type="cellIs" dxfId="199" priority="41" operator="equal">
      <formula>"SOP"</formula>
    </cfRule>
    <cfRule type="cellIs" dxfId="198" priority="42" operator="equal">
      <formula>"Peak"</formula>
    </cfRule>
    <cfRule type="cellIs" dxfId="197" priority="43" operator="equal">
      <formula>"Partial"</formula>
    </cfRule>
    <cfRule type="cellIs" dxfId="196" priority="44" operator="equal">
      <formula>"Off"</formula>
    </cfRule>
  </conditionalFormatting>
  <conditionalFormatting sqref="K5:P5 AA5:AE5">
    <cfRule type="cellIs" dxfId="195" priority="37" operator="equal">
      <formula>"SOP"</formula>
    </cfRule>
    <cfRule type="cellIs" dxfId="194" priority="38" operator="equal">
      <formula>"Peak"</formula>
    </cfRule>
    <cfRule type="cellIs" dxfId="193" priority="39" operator="equal">
      <formula>"Partial"</formula>
    </cfRule>
    <cfRule type="cellIs" dxfId="192" priority="40" operator="equal">
      <formula>"Off"</formula>
    </cfRule>
  </conditionalFormatting>
  <conditionalFormatting sqref="Q5:Z5">
    <cfRule type="cellIs" dxfId="191" priority="33" operator="equal">
      <formula>"SOP"</formula>
    </cfRule>
    <cfRule type="cellIs" dxfId="190" priority="34" operator="equal">
      <formula>"Peak"</formula>
    </cfRule>
    <cfRule type="cellIs" dxfId="189" priority="35" operator="equal">
      <formula>"Partial"</formula>
    </cfRule>
    <cfRule type="cellIs" dxfId="188" priority="36" operator="equal">
      <formula>"Off"</formula>
    </cfRule>
  </conditionalFormatting>
  <conditionalFormatting sqref="AF3:AH4">
    <cfRule type="cellIs" dxfId="187" priority="25" operator="equal">
      <formula>"SOP"</formula>
    </cfRule>
    <cfRule type="cellIs" dxfId="186" priority="26" operator="equal">
      <formula>"Peak"</formula>
    </cfRule>
    <cfRule type="cellIs" dxfId="185" priority="27" operator="equal">
      <formula>"Partial"</formula>
    </cfRule>
    <cfRule type="cellIs" dxfId="184" priority="28" operator="equal">
      <formula>"Off"</formula>
    </cfRule>
  </conditionalFormatting>
  <conditionalFormatting sqref="AF5:AH5">
    <cfRule type="cellIs" dxfId="183" priority="21" operator="equal">
      <formula>"SOP"</formula>
    </cfRule>
    <cfRule type="cellIs" dxfId="182" priority="22" operator="equal">
      <formula>"Peak"</formula>
    </cfRule>
    <cfRule type="cellIs" dxfId="181" priority="23" operator="equal">
      <formula>"Partial"</formula>
    </cfRule>
    <cfRule type="cellIs" dxfId="180" priority="24" operator="equal">
      <formula>"Off"</formula>
    </cfRule>
  </conditionalFormatting>
  <conditionalFormatting sqref="Q4:T4">
    <cfRule type="cellIs" dxfId="179" priority="29" operator="equal">
      <formula>"SOP"</formula>
    </cfRule>
    <cfRule type="cellIs" dxfId="178" priority="30" operator="equal">
      <formula>"Peak"</formula>
    </cfRule>
    <cfRule type="cellIs" dxfId="177" priority="31" operator="equal">
      <formula>"Partial"</formula>
    </cfRule>
    <cfRule type="cellIs" dxfId="176" priority="32" operator="equal">
      <formula>"Off"</formula>
    </cfRule>
  </conditionalFormatting>
  <conditionalFormatting sqref="K10:AE11">
    <cfRule type="cellIs" dxfId="175" priority="17" operator="equal">
      <formula>"SOP"</formula>
    </cfRule>
    <cfRule type="cellIs" dxfId="174" priority="18" operator="equal">
      <formula>"Peak"</formula>
    </cfRule>
    <cfRule type="cellIs" dxfId="173" priority="19" operator="equal">
      <formula>"Partial"</formula>
    </cfRule>
    <cfRule type="cellIs" dxfId="172" priority="20" operator="equal">
      <formula>"Off"</formula>
    </cfRule>
  </conditionalFormatting>
  <conditionalFormatting sqref="AA12:AE12 K12:X12">
    <cfRule type="cellIs" dxfId="171" priority="13" operator="equal">
      <formula>"SOP"</formula>
    </cfRule>
    <cfRule type="cellIs" dxfId="170" priority="14" operator="equal">
      <formula>"Peak"</formula>
    </cfRule>
    <cfRule type="cellIs" dxfId="169" priority="15" operator="equal">
      <formula>"Partial"</formula>
    </cfRule>
    <cfRule type="cellIs" dxfId="168" priority="16" operator="equal">
      <formula>"Off"</formula>
    </cfRule>
  </conditionalFormatting>
  <conditionalFormatting sqref="Y12:Z12">
    <cfRule type="cellIs" dxfId="167" priority="9" operator="equal">
      <formula>"SOP"</formula>
    </cfRule>
    <cfRule type="cellIs" dxfId="166" priority="10" operator="equal">
      <formula>"Peak"</formula>
    </cfRule>
    <cfRule type="cellIs" dxfId="165" priority="11" operator="equal">
      <formula>"Partial"</formula>
    </cfRule>
    <cfRule type="cellIs" dxfId="164" priority="12" operator="equal">
      <formula>"Off"</formula>
    </cfRule>
  </conditionalFormatting>
  <conditionalFormatting sqref="AF10:AH11">
    <cfRule type="cellIs" dxfId="163" priority="5" operator="equal">
      <formula>"SOP"</formula>
    </cfRule>
    <cfRule type="cellIs" dxfId="162" priority="6" operator="equal">
      <formula>"Peak"</formula>
    </cfRule>
    <cfRule type="cellIs" dxfId="161" priority="7" operator="equal">
      <formula>"Partial"</formula>
    </cfRule>
    <cfRule type="cellIs" dxfId="160" priority="8" operator="equal">
      <formula>"Off"</formula>
    </cfRule>
  </conditionalFormatting>
  <conditionalFormatting sqref="AF12:AH12">
    <cfRule type="cellIs" dxfId="159" priority="1" operator="equal">
      <formula>"SOP"</formula>
    </cfRule>
    <cfRule type="cellIs" dxfId="158" priority="2" operator="equal">
      <formula>"Peak"</formula>
    </cfRule>
    <cfRule type="cellIs" dxfId="157" priority="3" operator="equal">
      <formula>"Partial"</formula>
    </cfRule>
    <cfRule type="cellIs" dxfId="156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BU124"/>
  <sheetViews>
    <sheetView topLeftCell="A36" zoomScale="60" zoomScaleNormal="60" workbookViewId="0">
      <selection activeCell="J62" sqref="J62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19"/>
    </row>
    <row r="2" spans="2:62" ht="15" customHeight="1" x14ac:dyDescent="0.25">
      <c r="B2" s="353" t="s">
        <v>55</v>
      </c>
      <c r="C2" s="122"/>
      <c r="D2" s="388">
        <f>D12/D10/D8/D4</f>
        <v>129.03225806451616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57</v>
      </c>
      <c r="C3" s="124"/>
      <c r="D3" s="255">
        <f>(D2*D11)/D5</f>
        <v>3.5000000000000009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59</v>
      </c>
      <c r="C4" s="124"/>
      <c r="D4" s="254">
        <v>20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60</v>
      </c>
      <c r="C5" s="124"/>
      <c r="D5" s="254">
        <v>80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62</v>
      </c>
      <c r="C6" s="124"/>
      <c r="D6" s="254">
        <f>D5*D4</f>
        <v>1600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0.1041666666666667</v>
      </c>
      <c r="J7" s="129" t="s">
        <v>64</v>
      </c>
      <c r="K7" s="307">
        <f>P35</f>
        <v>1600</v>
      </c>
      <c r="L7" s="307">
        <f>P36</f>
        <v>1600</v>
      </c>
      <c r="M7" s="307">
        <f>P37</f>
        <v>1600</v>
      </c>
      <c r="N7" s="307">
        <f>P38</f>
        <v>800</v>
      </c>
      <c r="O7" s="307">
        <f>P39</f>
        <v>0</v>
      </c>
      <c r="P7" s="307">
        <f>P40</f>
        <v>0</v>
      </c>
      <c r="Q7" s="307">
        <f>P41</f>
        <v>0</v>
      </c>
      <c r="R7" s="307">
        <f>P42</f>
        <v>0</v>
      </c>
      <c r="S7" s="307">
        <f>P43</f>
        <v>0</v>
      </c>
      <c r="T7" s="307">
        <f>P44</f>
        <v>0</v>
      </c>
      <c r="U7" s="307">
        <f>P45</f>
        <v>0</v>
      </c>
      <c r="V7" s="307">
        <f>P46</f>
        <v>0</v>
      </c>
      <c r="W7" s="307">
        <f>P47</f>
        <v>0</v>
      </c>
      <c r="X7" s="307">
        <f>P48</f>
        <v>0</v>
      </c>
      <c r="Y7" s="307">
        <f>P49</f>
        <v>0</v>
      </c>
      <c r="Z7" s="307">
        <f>P50</f>
        <v>0</v>
      </c>
      <c r="AA7" s="307">
        <f>P51</f>
        <v>0</v>
      </c>
      <c r="AB7" s="307">
        <f>P52</f>
        <v>0</v>
      </c>
      <c r="AC7" s="307">
        <f>P53</f>
        <v>0</v>
      </c>
      <c r="AD7" s="307">
        <f>P54</f>
        <v>0</v>
      </c>
      <c r="AE7" s="307">
        <f>P55</f>
        <v>0</v>
      </c>
      <c r="AF7" s="307">
        <f>P56</f>
        <v>0</v>
      </c>
      <c r="AG7" s="307">
        <f>P57</f>
        <v>0</v>
      </c>
      <c r="AH7" s="307">
        <f>P58</f>
        <v>0</v>
      </c>
      <c r="BG7" s="16"/>
    </row>
    <row r="8" spans="2:62" ht="15" customHeight="1" thickBot="1" x14ac:dyDescent="0.3">
      <c r="B8" s="123" t="s">
        <v>65</v>
      </c>
      <c r="C8" s="124"/>
      <c r="D8" s="254">
        <v>5</v>
      </c>
      <c r="E8" s="108"/>
      <c r="F8" s="108"/>
      <c r="K8" s="209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23" t="s">
        <v>69</v>
      </c>
      <c r="C11" s="124"/>
      <c r="D11" s="255">
        <v>2.17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354" t="s">
        <v>70</v>
      </c>
      <c r="C12" s="355"/>
      <c r="D12" s="356">
        <f>(K49/D11)/12</f>
        <v>56067.588325652869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73</v>
      </c>
      <c r="C15" s="139"/>
      <c r="D15" s="258">
        <f>12-D13-D14</f>
        <v>5</v>
      </c>
      <c r="J15" s="127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</row>
    <row r="16" spans="2:62" ht="15" customHeight="1" thickBot="1" x14ac:dyDescent="0.3">
      <c r="B16" s="140" t="s">
        <v>74</v>
      </c>
      <c r="C16" s="141"/>
      <c r="D16" s="265">
        <v>0.5</v>
      </c>
      <c r="J16" s="21" t="s">
        <v>75</v>
      </c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</row>
    <row r="17" spans="2:34" ht="15" customHeight="1" thickBot="1" x14ac:dyDescent="0.3">
      <c r="B17" s="143" t="s">
        <v>76</v>
      </c>
      <c r="C17" s="144"/>
      <c r="D17" s="260">
        <v>8</v>
      </c>
      <c r="J17" s="186" t="s">
        <v>3</v>
      </c>
    </row>
    <row r="18" spans="2:34" ht="15" customHeight="1" thickBot="1" x14ac:dyDescent="0.3">
      <c r="B18" s="143" t="s">
        <v>78</v>
      </c>
      <c r="C18" s="144"/>
      <c r="D18" s="261" t="s">
        <v>79</v>
      </c>
      <c r="E18" s="10" t="s">
        <v>77</v>
      </c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0</v>
      </c>
      <c r="AB18" s="309">
        <f t="shared" si="0"/>
        <v>0</v>
      </c>
      <c r="AC18" s="309">
        <f t="shared" si="0"/>
        <v>0</v>
      </c>
      <c r="AD18" s="309">
        <f t="shared" si="0"/>
        <v>0</v>
      </c>
      <c r="AE18" s="309">
        <f t="shared" si="0"/>
        <v>0</v>
      </c>
      <c r="AF18" s="308"/>
      <c r="AG18" s="308"/>
      <c r="AH18" s="308"/>
    </row>
    <row r="19" spans="2:34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0</v>
      </c>
      <c r="R19" s="310">
        <f t="shared" ref="R19:X19" si="1">R$7*5</f>
        <v>0</v>
      </c>
      <c r="S19" s="310">
        <f t="shared" si="1"/>
        <v>0</v>
      </c>
      <c r="T19" s="310">
        <f t="shared" si="1"/>
        <v>0</v>
      </c>
      <c r="U19" s="310">
        <f t="shared" si="1"/>
        <v>0</v>
      </c>
      <c r="V19" s="310">
        <f t="shared" si="1"/>
        <v>0</v>
      </c>
      <c r="W19" s="310">
        <f t="shared" si="1"/>
        <v>0</v>
      </c>
      <c r="X19" s="310">
        <f t="shared" si="1"/>
        <v>0</v>
      </c>
      <c r="Y19" s="310">
        <f t="shared" ref="Y19:Z19" si="2">Y$7*5+Y$14*2</f>
        <v>0</v>
      </c>
      <c r="Z19" s="310">
        <f t="shared" si="2"/>
        <v>0</v>
      </c>
      <c r="AA19" s="308"/>
      <c r="AB19" s="308"/>
      <c r="AC19" s="308"/>
      <c r="AD19" s="308"/>
      <c r="AE19" s="308"/>
      <c r="AF19" s="310">
        <f>AF$7*5+AF$14*2</f>
        <v>0</v>
      </c>
      <c r="AG19" s="310">
        <f t="shared" si="0"/>
        <v>0</v>
      </c>
      <c r="AH19" s="310">
        <f t="shared" si="0"/>
        <v>0</v>
      </c>
    </row>
    <row r="20" spans="2:34" ht="15" customHeight="1" thickBot="1" x14ac:dyDescent="0.3">
      <c r="B20" s="232" t="s">
        <v>143</v>
      </c>
      <c r="C20" s="233"/>
      <c r="D20" s="263">
        <f>'Incumbent fuels'!C5</f>
        <v>1.1137344</v>
      </c>
      <c r="J20" s="146" t="s">
        <v>84</v>
      </c>
      <c r="K20" s="311">
        <f>K$7*5+K$14*2</f>
        <v>8000</v>
      </c>
      <c r="L20" s="311">
        <f t="shared" ref="L20:P20" si="3">L$7*5+L$14*2</f>
        <v>8000</v>
      </c>
      <c r="M20" s="311">
        <f t="shared" si="3"/>
        <v>8000</v>
      </c>
      <c r="N20" s="311">
        <f t="shared" si="3"/>
        <v>4000</v>
      </c>
      <c r="O20" s="311">
        <f t="shared" si="3"/>
        <v>0</v>
      </c>
      <c r="P20" s="311">
        <f t="shared" si="3"/>
        <v>0</v>
      </c>
      <c r="Q20" s="311">
        <f>Q$14*2</f>
        <v>0</v>
      </c>
      <c r="R20" s="311">
        <f t="shared" ref="R20:X20" si="4">R$14*2</f>
        <v>0</v>
      </c>
      <c r="S20" s="311">
        <f t="shared" si="4"/>
        <v>0</v>
      </c>
      <c r="T20" s="311">
        <f t="shared" si="4"/>
        <v>0</v>
      </c>
      <c r="U20" s="311">
        <f t="shared" si="4"/>
        <v>0</v>
      </c>
      <c r="V20" s="311">
        <f t="shared" si="4"/>
        <v>0</v>
      </c>
      <c r="W20" s="311">
        <f t="shared" si="4"/>
        <v>0</v>
      </c>
      <c r="X20" s="311">
        <f t="shared" si="4"/>
        <v>0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</row>
    <row r="21" spans="2:34" ht="15" customHeight="1" thickBot="1" x14ac:dyDescent="0.3">
      <c r="B21" s="234" t="s">
        <v>144</v>
      </c>
      <c r="C21" s="235"/>
      <c r="D21" s="264">
        <v>2.1</v>
      </c>
    </row>
    <row r="22" spans="2:34" ht="15" customHeight="1" thickBot="1" x14ac:dyDescent="0.3">
      <c r="C22" s="376" t="s">
        <v>86</v>
      </c>
      <c r="D22" s="375">
        <f>IF(ROUND(D3,2)=O59,1,0)</f>
        <v>1</v>
      </c>
      <c r="J22" s="187" t="s">
        <v>4</v>
      </c>
    </row>
    <row r="23" spans="2:34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5">AA$7*5+AA$14*2</f>
        <v>0</v>
      </c>
      <c r="AB23" s="309">
        <f t="shared" si="5"/>
        <v>0</v>
      </c>
      <c r="AC23" s="309">
        <f t="shared" si="5"/>
        <v>0</v>
      </c>
      <c r="AD23" s="309">
        <f t="shared" si="5"/>
        <v>0</v>
      </c>
      <c r="AE23" s="309">
        <f t="shared" si="5"/>
        <v>0</v>
      </c>
      <c r="AF23" s="308"/>
      <c r="AG23" s="308"/>
      <c r="AH23" s="308"/>
    </row>
    <row r="24" spans="2:34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6">Q$7*5+Q$14*2</f>
        <v>0</v>
      </c>
      <c r="R24" s="310">
        <f t="shared" si="6"/>
        <v>0</v>
      </c>
      <c r="S24" s="310">
        <f t="shared" si="6"/>
        <v>0</v>
      </c>
      <c r="T24" s="310">
        <f t="shared" ref="T24" si="7">T$7*5</f>
        <v>0</v>
      </c>
      <c r="U24" s="312"/>
      <c r="V24" s="312"/>
      <c r="W24" s="312"/>
      <c r="X24" s="312"/>
      <c r="Y24" s="310">
        <f t="shared" si="6"/>
        <v>0</v>
      </c>
      <c r="Z24" s="310">
        <f t="shared" si="6"/>
        <v>0</v>
      </c>
      <c r="AA24" s="308"/>
      <c r="AB24" s="308"/>
      <c r="AC24" s="308"/>
      <c r="AD24" s="308"/>
      <c r="AE24" s="308"/>
      <c r="AF24" s="310">
        <f>AF$7*5+AF$14*2</f>
        <v>0</v>
      </c>
      <c r="AG24" s="310">
        <f t="shared" si="5"/>
        <v>0</v>
      </c>
      <c r="AH24" s="310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311">
        <f t="shared" ref="K25:P25" si="8">K$7*5+K$14*2</f>
        <v>8000</v>
      </c>
      <c r="L25" s="311">
        <f t="shared" si="8"/>
        <v>8000</v>
      </c>
      <c r="M25" s="311">
        <f t="shared" si="8"/>
        <v>8000</v>
      </c>
      <c r="N25" s="311">
        <f t="shared" si="8"/>
        <v>4000</v>
      </c>
      <c r="O25" s="311">
        <f t="shared" si="8"/>
        <v>0</v>
      </c>
      <c r="P25" s="311">
        <f t="shared" si="8"/>
        <v>0</v>
      </c>
      <c r="Q25" s="311">
        <f>Q$14*2</f>
        <v>0</v>
      </c>
      <c r="R25" s="311">
        <f t="shared" ref="R25:T25" si="9">R$14*2</f>
        <v>0</v>
      </c>
      <c r="S25" s="311">
        <f t="shared" si="9"/>
        <v>0</v>
      </c>
      <c r="T25" s="311">
        <f t="shared" si="9"/>
        <v>0</v>
      </c>
      <c r="U25" s="311">
        <f>U$7*5+U$14*2</f>
        <v>0</v>
      </c>
      <c r="V25" s="311">
        <f t="shared" ref="V25:X25" si="10">V$7*5+V$14*2</f>
        <v>0</v>
      </c>
      <c r="W25" s="311">
        <f t="shared" si="10"/>
        <v>0</v>
      </c>
      <c r="X25" s="311">
        <f t="shared" si="10"/>
        <v>0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5" customHeight="1" thickBot="1" x14ac:dyDescent="0.3">
      <c r="B26" s="149" t="s">
        <v>89</v>
      </c>
      <c r="C26" s="96" t="s">
        <v>90</v>
      </c>
      <c r="D26" s="97" t="s">
        <v>92</v>
      </c>
      <c r="E26" s="97" t="s">
        <v>92</v>
      </c>
      <c r="F26" s="97" t="s">
        <v>92</v>
      </c>
      <c r="G26" s="97" t="s">
        <v>92</v>
      </c>
    </row>
    <row r="27" spans="2:34" ht="15" customHeight="1" thickBot="1" x14ac:dyDescent="0.3">
      <c r="B27" s="149" t="s">
        <v>27</v>
      </c>
      <c r="C27" s="96" t="s">
        <v>90</v>
      </c>
      <c r="D27" s="97" t="s">
        <v>91</v>
      </c>
      <c r="E27" s="97" t="s">
        <v>91</v>
      </c>
      <c r="F27" s="97" t="s">
        <v>91</v>
      </c>
      <c r="G27" s="97" t="s">
        <v>91</v>
      </c>
      <c r="J27" s="188" t="s">
        <v>61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0</v>
      </c>
      <c r="AB28" s="309">
        <f t="shared" si="11"/>
        <v>0</v>
      </c>
      <c r="AC28" s="309">
        <f t="shared" si="11"/>
        <v>0</v>
      </c>
      <c r="AD28" s="309">
        <f t="shared" si="11"/>
        <v>0</v>
      </c>
      <c r="AE28" s="309">
        <f t="shared" si="11"/>
        <v>0</v>
      </c>
      <c r="AF28" s="308"/>
      <c r="AG28" s="308"/>
      <c r="AH28" s="308"/>
    </row>
    <row r="29" spans="2:34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2">Q$7*5</f>
        <v>0</v>
      </c>
      <c r="R29" s="310">
        <f t="shared" si="12"/>
        <v>0</v>
      </c>
      <c r="S29" s="310">
        <f t="shared" si="12"/>
        <v>0</v>
      </c>
      <c r="T29" s="310">
        <f t="shared" si="12"/>
        <v>0</v>
      </c>
      <c r="U29" s="310">
        <f t="shared" si="12"/>
        <v>0</v>
      </c>
      <c r="V29" s="310">
        <f t="shared" si="12"/>
        <v>0</v>
      </c>
      <c r="W29" s="310">
        <f t="shared" si="12"/>
        <v>0</v>
      </c>
      <c r="X29" s="310">
        <f>X$7*5</f>
        <v>0</v>
      </c>
      <c r="Y29" s="310">
        <f t="shared" ref="Y29:Z29" si="13">Y$7*5+Y$14*2</f>
        <v>0</v>
      </c>
      <c r="Z29" s="310">
        <f t="shared" si="13"/>
        <v>0</v>
      </c>
      <c r="AA29" s="308"/>
      <c r="AB29" s="308"/>
      <c r="AC29" s="308"/>
      <c r="AD29" s="308"/>
      <c r="AE29" s="308"/>
      <c r="AF29" s="310">
        <f>AF$7*5+AF$14*2</f>
        <v>0</v>
      </c>
      <c r="AG29" s="310">
        <f t="shared" si="11"/>
        <v>0</v>
      </c>
      <c r="AH29" s="310">
        <f t="shared" si="11"/>
        <v>0</v>
      </c>
    </row>
    <row r="30" spans="2:34" ht="15" customHeight="1" thickBot="1" x14ac:dyDescent="0.3">
      <c r="B30" s="150" t="s">
        <v>93</v>
      </c>
      <c r="C30" s="96" t="s">
        <v>95</v>
      </c>
      <c r="D30" s="97">
        <f>ROUNDUP(($D$6-($D$29*25))/25,0)</f>
        <v>63</v>
      </c>
      <c r="E30" s="97">
        <f t="shared" ref="E30:G30" si="14">ROUNDUP(($D$6-($D$29*25))/25,0)</f>
        <v>63</v>
      </c>
      <c r="F30" s="97">
        <f t="shared" si="14"/>
        <v>63</v>
      </c>
      <c r="G30" s="97">
        <f t="shared" si="14"/>
        <v>63</v>
      </c>
      <c r="J30" s="146" t="s">
        <v>84</v>
      </c>
      <c r="K30" s="311">
        <f t="shared" ref="K30:P30" si="15">K$7*5+K$14*2</f>
        <v>8000</v>
      </c>
      <c r="L30" s="311">
        <f t="shared" si="15"/>
        <v>8000</v>
      </c>
      <c r="M30" s="311">
        <f t="shared" si="15"/>
        <v>8000</v>
      </c>
      <c r="N30" s="311">
        <f t="shared" si="15"/>
        <v>4000</v>
      </c>
      <c r="O30" s="311">
        <f t="shared" si="15"/>
        <v>0</v>
      </c>
      <c r="P30" s="311">
        <f t="shared" si="15"/>
        <v>0</v>
      </c>
      <c r="Q30" s="311">
        <f>Q$14*2</f>
        <v>0</v>
      </c>
      <c r="R30" s="311">
        <f t="shared" ref="R30:X30" si="16">R$14*2</f>
        <v>0</v>
      </c>
      <c r="S30" s="311">
        <f t="shared" si="16"/>
        <v>0</v>
      </c>
      <c r="T30" s="311">
        <f t="shared" si="16"/>
        <v>0</v>
      </c>
      <c r="U30" s="311">
        <f t="shared" si="16"/>
        <v>0</v>
      </c>
      <c r="V30" s="311">
        <f t="shared" si="16"/>
        <v>0</v>
      </c>
      <c r="W30" s="311">
        <f t="shared" si="16"/>
        <v>0</v>
      </c>
      <c r="X30" s="311">
        <f t="shared" si="16"/>
        <v>0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201"/>
    </row>
    <row r="33" spans="2:16" ht="15" customHeight="1" thickBot="1" x14ac:dyDescent="0.3">
      <c r="B33" s="149" t="s">
        <v>80</v>
      </c>
      <c r="C33" s="98" t="s">
        <v>97</v>
      </c>
      <c r="D33" s="101">
        <v>0</v>
      </c>
      <c r="E33" s="101">
        <v>0</v>
      </c>
      <c r="F33" s="101">
        <v>0</v>
      </c>
      <c r="G33" s="101">
        <v>0</v>
      </c>
      <c r="J33" s="151" t="s">
        <v>98</v>
      </c>
      <c r="N33" s="14"/>
      <c r="O33" s="200" t="s">
        <v>99</v>
      </c>
      <c r="P33" s="202" t="s">
        <v>100</v>
      </c>
    </row>
    <row r="34" spans="2:16" ht="15" customHeight="1" thickBot="1" x14ac:dyDescent="0.3">
      <c r="B34" s="149" t="s">
        <v>101</v>
      </c>
      <c r="C34" s="98" t="s">
        <v>97</v>
      </c>
      <c r="D34" s="101">
        <f t="shared" ref="D34:G35" si="17">$D$6</f>
        <v>1600</v>
      </c>
      <c r="E34" s="101">
        <f t="shared" si="17"/>
        <v>1600</v>
      </c>
      <c r="F34" s="101">
        <f t="shared" si="17"/>
        <v>1600</v>
      </c>
      <c r="G34" s="101">
        <f t="shared" si="17"/>
        <v>1600</v>
      </c>
      <c r="J34" s="186" t="s">
        <v>3</v>
      </c>
      <c r="K34" s="153"/>
      <c r="L34" s="153"/>
      <c r="N34" s="14" t="s">
        <v>102</v>
      </c>
      <c r="O34" s="200" t="s">
        <v>103</v>
      </c>
      <c r="P34" s="202" t="s">
        <v>104</v>
      </c>
    </row>
    <row r="35" spans="2:16" ht="15" customHeight="1" x14ac:dyDescent="0.25">
      <c r="B35" s="149" t="s">
        <v>105</v>
      </c>
      <c r="C35" s="98" t="s">
        <v>97</v>
      </c>
      <c r="D35" s="101">
        <f t="shared" si="17"/>
        <v>1600</v>
      </c>
      <c r="E35" s="101">
        <f t="shared" si="17"/>
        <v>1600</v>
      </c>
      <c r="F35" s="101">
        <f t="shared" si="17"/>
        <v>1600</v>
      </c>
      <c r="G35" s="101">
        <f t="shared" si="17"/>
        <v>1600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03">
        <f>$D$4*$D$5*O35</f>
        <v>1600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03">
        <f t="shared" ref="P36:P58" si="18">$D$4*$D$5*O36</f>
        <v>1600</v>
      </c>
    </row>
    <row r="37" spans="2:16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608333.33333333349</v>
      </c>
      <c r="L37" s="129" t="s">
        <v>106</v>
      </c>
      <c r="N37" s="15">
        <v>8.3333333333333301E-2</v>
      </c>
      <c r="O37" s="211">
        <v>1</v>
      </c>
      <c r="P37" s="203">
        <f t="shared" si="18"/>
        <v>1600</v>
      </c>
    </row>
    <row r="38" spans="2:16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1">
        <v>0.5</v>
      </c>
      <c r="P38" s="203">
        <f t="shared" si="18"/>
        <v>800</v>
      </c>
    </row>
    <row r="39" spans="2:16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 t="shared" ref="G39:G40" si="19">D39+E39+F39</f>
        <v>0</v>
      </c>
      <c r="J39" s="187" t="s">
        <v>4</v>
      </c>
      <c r="K39" s="153"/>
      <c r="L39" s="153"/>
      <c r="N39" s="15">
        <v>0.16666666666666699</v>
      </c>
      <c r="O39" s="211">
        <v>0</v>
      </c>
      <c r="P39" s="203">
        <f t="shared" si="18"/>
        <v>0</v>
      </c>
    </row>
    <row r="40" spans="2:16" ht="15" customHeight="1" x14ac:dyDescent="0.25">
      <c r="B40" s="100" t="s">
        <v>48</v>
      </c>
      <c r="C40" s="99" t="s">
        <v>106</v>
      </c>
      <c r="D40" s="101">
        <f>K37</f>
        <v>608333.33333333349</v>
      </c>
      <c r="E40" s="101">
        <f>K42</f>
        <v>243333.33333333337</v>
      </c>
      <c r="F40" s="101">
        <f>K47</f>
        <v>608333.33333333349</v>
      </c>
      <c r="G40" s="101">
        <f t="shared" si="19"/>
        <v>1460000.0000000005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03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03">
        <f t="shared" si="18"/>
        <v>0</v>
      </c>
    </row>
    <row r="42" spans="2:16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243333.33333333337</v>
      </c>
      <c r="L42" s="129" t="s">
        <v>106</v>
      </c>
      <c r="N42" s="15">
        <v>0.29166666666666702</v>
      </c>
      <c r="O42" s="211">
        <v>0</v>
      </c>
      <c r="P42" s="203">
        <f t="shared" si="18"/>
        <v>0</v>
      </c>
    </row>
    <row r="43" spans="2:16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03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03">
        <f t="shared" si="18"/>
        <v>0</v>
      </c>
    </row>
    <row r="45" spans="2:16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03">
        <f t="shared" si="18"/>
        <v>0</v>
      </c>
    </row>
    <row r="46" spans="2:16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03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608333.33333333349</v>
      </c>
      <c r="L47" s="129" t="s">
        <v>106</v>
      </c>
      <c r="N47" s="15">
        <v>0.5</v>
      </c>
      <c r="O47" s="211">
        <v>0</v>
      </c>
      <c r="P47" s="203">
        <f t="shared" si="18"/>
        <v>0</v>
      </c>
    </row>
    <row r="48" spans="2:16" ht="15" customHeight="1" thickBot="1" x14ac:dyDescent="0.3">
      <c r="B48" s="166" t="s">
        <v>89</v>
      </c>
      <c r="C48" s="167" t="s">
        <v>111</v>
      </c>
      <c r="D48" s="168" t="s">
        <v>92</v>
      </c>
      <c r="E48" s="168" t="s">
        <v>92</v>
      </c>
      <c r="F48" s="168" t="s">
        <v>92</v>
      </c>
      <c r="G48" s="172" t="s">
        <v>92</v>
      </c>
      <c r="N48" s="15">
        <v>0.54166666666666696</v>
      </c>
      <c r="O48" s="211">
        <v>0</v>
      </c>
      <c r="P48" s="203">
        <f t="shared" si="18"/>
        <v>0</v>
      </c>
    </row>
    <row r="49" spans="2:73" ht="15" customHeight="1" thickBot="1" x14ac:dyDescent="0.3">
      <c r="B49" s="166" t="s">
        <v>27</v>
      </c>
      <c r="C49" s="167" t="s">
        <v>111</v>
      </c>
      <c r="D49" s="280">
        <f>'Rate Summary TOU-M and EV-HP'!$E$9*$D$13</f>
        <v>507.8</v>
      </c>
      <c r="E49" s="280">
        <f>'Rate Summary TOU-M and EV-HP'!$E$9*$D$14</f>
        <v>203.12</v>
      </c>
      <c r="F49" s="280">
        <f>'Rate Summary TOU-M and EV-HP'!$E$9*$D$15</f>
        <v>507.8</v>
      </c>
      <c r="G49" s="281">
        <f>SUM(D49:F49)</f>
        <v>1218.72</v>
      </c>
      <c r="J49" s="163" t="s">
        <v>112</v>
      </c>
      <c r="K49" s="162">
        <f>SUM(K35:K47)</f>
        <v>1460000.0000000005</v>
      </c>
      <c r="L49" s="161" t="s">
        <v>106</v>
      </c>
      <c r="N49" s="15">
        <v>0.58333333333333304</v>
      </c>
      <c r="O49" s="211">
        <v>0</v>
      </c>
      <c r="P49" s="203">
        <f t="shared" si="18"/>
        <v>0</v>
      </c>
    </row>
    <row r="50" spans="2:73" ht="15" customHeight="1" thickBot="1" x14ac:dyDescent="0.3">
      <c r="B50" s="166"/>
      <c r="C50" s="167"/>
      <c r="D50" s="168"/>
      <c r="E50" s="168"/>
      <c r="F50" s="168"/>
      <c r="G50" s="168"/>
      <c r="M50" s="159"/>
      <c r="N50" s="15">
        <v>0.625</v>
      </c>
      <c r="O50" s="211">
        <v>0</v>
      </c>
      <c r="P50" s="203">
        <f t="shared" si="18"/>
        <v>0</v>
      </c>
    </row>
    <row r="51" spans="2:73" ht="15" customHeight="1" thickBot="1" x14ac:dyDescent="0.3">
      <c r="B51" s="169"/>
      <c r="C51" s="167"/>
      <c r="D51" s="168"/>
      <c r="E51" s="168"/>
      <c r="F51" s="168"/>
      <c r="G51" s="172"/>
      <c r="J51" s="246" t="s">
        <v>113</v>
      </c>
      <c r="K51" s="153"/>
      <c r="L51" s="120"/>
      <c r="N51" s="15">
        <v>0.66666666666666696</v>
      </c>
      <c r="O51" s="211">
        <v>0</v>
      </c>
      <c r="P51" s="203">
        <f t="shared" si="18"/>
        <v>0</v>
      </c>
    </row>
    <row r="52" spans="2:73" ht="15" customHeight="1" x14ac:dyDescent="0.25">
      <c r="B52" s="169" t="s">
        <v>114</v>
      </c>
      <c r="C52" s="167" t="s">
        <v>111</v>
      </c>
      <c r="D52" s="168" t="s">
        <v>92</v>
      </c>
      <c r="E52" s="168" t="s">
        <v>92</v>
      </c>
      <c r="F52" s="168" t="s">
        <v>92</v>
      </c>
      <c r="G52" s="172" t="s">
        <v>92</v>
      </c>
      <c r="J52" s="145" t="s">
        <v>115</v>
      </c>
      <c r="K52" s="245">
        <f>D12*(D20/D21)</f>
        <v>29735.429449199051</v>
      </c>
      <c r="L52" s="128" t="s">
        <v>116</v>
      </c>
      <c r="M52" s="159"/>
      <c r="N52" s="15">
        <v>0.70833333333333304</v>
      </c>
      <c r="O52" s="211">
        <v>0</v>
      </c>
      <c r="P52" s="203">
        <f t="shared" si="18"/>
        <v>0</v>
      </c>
    </row>
    <row r="53" spans="2:73" ht="15" customHeight="1" thickBot="1" x14ac:dyDescent="0.3">
      <c r="B53" s="169"/>
      <c r="C53" s="167"/>
      <c r="D53" s="168"/>
      <c r="E53" s="168"/>
      <c r="F53" s="168"/>
      <c r="G53" s="168"/>
      <c r="J53" s="146" t="s">
        <v>117</v>
      </c>
      <c r="K53" s="252">
        <f>K52/D12</f>
        <v>0.53034971428571431</v>
      </c>
      <c r="L53" s="238" t="s">
        <v>116</v>
      </c>
      <c r="N53" s="15">
        <v>0.75</v>
      </c>
      <c r="O53" s="211">
        <v>0</v>
      </c>
      <c r="P53" s="203">
        <f t="shared" si="18"/>
        <v>0</v>
      </c>
    </row>
    <row r="54" spans="2:73" ht="15" customHeight="1" x14ac:dyDescent="0.25">
      <c r="B54" s="169" t="s">
        <v>118</v>
      </c>
      <c r="C54" s="167"/>
      <c r="D54" s="168"/>
      <c r="E54" s="168"/>
      <c r="F54" s="168"/>
      <c r="G54" s="168"/>
      <c r="N54" s="15">
        <v>0.79166666666666696</v>
      </c>
      <c r="O54" s="211">
        <v>0</v>
      </c>
      <c r="P54" s="203">
        <f t="shared" si="18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EV-HP'!$E12*$D$13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 t="shared" ref="G55" si="20">SUM(D55:F55)</f>
        <v>0</v>
      </c>
      <c r="L55" s="108"/>
      <c r="N55" s="15">
        <v>0.83333333333333304</v>
      </c>
      <c r="O55" s="211">
        <v>0</v>
      </c>
      <c r="P55" s="203">
        <f t="shared" si="18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17760.000000000004</v>
      </c>
      <c r="E56" s="280">
        <f>E34*'Rate Summary TOU-M and EV-HP'!$E14*$D$14</f>
        <v>7104.0000000000009</v>
      </c>
      <c r="F56" s="280">
        <f>F34*'Rate Summary TOU-M and EV-HP'!$E14*$D$15</f>
        <v>17760.000000000004</v>
      </c>
      <c r="G56" s="281">
        <f>SUM(D56:F56)</f>
        <v>42624.000000000007</v>
      </c>
      <c r="N56" s="15">
        <v>0.875</v>
      </c>
      <c r="O56" s="211">
        <v>0</v>
      </c>
      <c r="P56" s="203">
        <f t="shared" si="18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03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0"/>
      <c r="E58" s="280"/>
      <c r="F58" s="280"/>
      <c r="G58" s="280"/>
      <c r="N58" s="15">
        <v>0.95833333333333304</v>
      </c>
      <c r="O58" s="211">
        <v>0</v>
      </c>
      <c r="P58" s="203">
        <f t="shared" si="18"/>
        <v>0</v>
      </c>
      <c r="BR58" s="1"/>
      <c r="BS58" s="109"/>
      <c r="BT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0"/>
      <c r="N59" s="183"/>
      <c r="O59" s="358">
        <f>SUM(O35:O58)</f>
        <v>3.5</v>
      </c>
      <c r="P59" s="204">
        <f>SUM(P35:P58)</f>
        <v>5600</v>
      </c>
      <c r="BR59" s="1"/>
      <c r="BS59" s="109"/>
      <c r="BT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 t="shared" ref="G60:G61" si="21">SUM(D60:F60)</f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 t="shared" si="21"/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106476.58333333337</v>
      </c>
      <c r="E62" s="280">
        <f>K42*'Rate Summary TOU-M and EV-HP'!$E26</f>
        <v>42877.766666666677</v>
      </c>
      <c r="F62" s="280">
        <f>K47*'Rate Summary TOU-M and EV-HP'!$E26</f>
        <v>107194.4166666667</v>
      </c>
      <c r="G62" s="281">
        <f>SUM(D62:F62)</f>
        <v>256548.76666666672</v>
      </c>
      <c r="J62" s="397" t="s">
        <v>139</v>
      </c>
      <c r="Q62" s="210"/>
      <c r="BS62" s="1"/>
      <c r="BT62" s="109"/>
      <c r="BU62" s="156"/>
    </row>
    <row r="63" spans="2:73" x14ac:dyDescent="0.25">
      <c r="B63" s="166"/>
      <c r="C63" s="166"/>
      <c r="D63" s="166"/>
      <c r="E63" s="166"/>
      <c r="F63" s="166"/>
      <c r="G63" s="166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 t="shared" ref="G64:G65" si="22">SUM(D64:F64)</f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 t="shared" si="22"/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145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79">
        <f>SUM(D48:D65)</f>
        <v>124744.38333333338</v>
      </c>
      <c r="E67" s="279">
        <f t="shared" ref="E67:F67" si="23">SUM(E48:E65)</f>
        <v>50184.88666666668</v>
      </c>
      <c r="F67" s="279">
        <f t="shared" si="23"/>
        <v>125462.2166666667</v>
      </c>
      <c r="G67" s="279">
        <f>SUM(G48:G65)</f>
        <v>300391.48666666675</v>
      </c>
      <c r="J67" s="230" t="s">
        <v>146</v>
      </c>
      <c r="BS67" s="1"/>
      <c r="BT67" s="109"/>
      <c r="BU67" s="156"/>
    </row>
    <row r="68" spans="2:73" x14ac:dyDescent="0.25">
      <c r="B68" s="189" t="s">
        <v>127</v>
      </c>
      <c r="C68" s="190"/>
      <c r="D68" s="191">
        <f>D67/5</f>
        <v>24948.876666666674</v>
      </c>
      <c r="E68" s="191">
        <f>E67/2</f>
        <v>25092.44333333334</v>
      </c>
      <c r="F68" s="191">
        <f>F67/5</f>
        <v>25092.44333333334</v>
      </c>
      <c r="G68" s="272">
        <f>G67/12</f>
        <v>25032.623888888895</v>
      </c>
      <c r="J68" s="10" t="s">
        <v>147</v>
      </c>
    </row>
    <row r="69" spans="2:73" x14ac:dyDescent="0.25">
      <c r="B69" s="273" t="s">
        <v>9</v>
      </c>
      <c r="C69" s="268"/>
      <c r="D69" s="172">
        <f>D67/(D38+D39+D40)</f>
        <v>0.20505926027397262</v>
      </c>
      <c r="E69" s="172">
        <f t="shared" ref="E69:G69" si="24">E67/(E38+E39+E40)</f>
        <v>0.20623926027397263</v>
      </c>
      <c r="F69" s="172">
        <f t="shared" si="24"/>
        <v>0.2062392602739726</v>
      </c>
      <c r="G69" s="274">
        <f t="shared" si="24"/>
        <v>0.20574759360730593</v>
      </c>
    </row>
    <row r="70" spans="2:73" ht="15.75" thickBot="1" x14ac:dyDescent="0.3">
      <c r="B70" s="275" t="s">
        <v>129</v>
      </c>
      <c r="C70" s="276"/>
      <c r="D70" s="278">
        <f>D69*$D$11</f>
        <v>0.44497859479452057</v>
      </c>
      <c r="E70" s="278">
        <f>E69*$D$11</f>
        <v>0.44753919479452059</v>
      </c>
      <c r="F70" s="278">
        <f>F69*$D$11</f>
        <v>0.44753919479452053</v>
      </c>
      <c r="G70" s="278">
        <f>G69*$D$11</f>
        <v>0.44647227812785384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88</v>
      </c>
      <c r="C73" s="106" t="s">
        <v>20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33"/>
      <c r="C74" s="334"/>
      <c r="D74" s="333"/>
      <c r="E74" s="335"/>
      <c r="F74" s="335"/>
      <c r="G74" s="333"/>
      <c r="AV74" s="156"/>
      <c r="AW74" s="156"/>
      <c r="AX74" s="156"/>
      <c r="AY74" s="156"/>
    </row>
    <row r="75" spans="2:73" x14ac:dyDescent="0.25">
      <c r="B75" s="336" t="s">
        <v>89</v>
      </c>
      <c r="C75" s="337" t="s">
        <v>111</v>
      </c>
      <c r="D75" s="338" t="s">
        <v>92</v>
      </c>
      <c r="E75" s="339" t="s">
        <v>92</v>
      </c>
      <c r="F75" s="339" t="s">
        <v>92</v>
      </c>
      <c r="G75" s="338" t="s">
        <v>92</v>
      </c>
    </row>
    <row r="76" spans="2:73" x14ac:dyDescent="0.25">
      <c r="B76" s="336" t="s">
        <v>27</v>
      </c>
      <c r="C76" s="337" t="s">
        <v>111</v>
      </c>
      <c r="D76" s="340">
        <f>'Rate Summary TOU-M and EV-HP'!$I$8*$D$13</f>
        <v>3723.2</v>
      </c>
      <c r="E76" s="340">
        <f>'Rate Summary TOU-M and EV-HP'!$I$8*$D$14</f>
        <v>1489.28</v>
      </c>
      <c r="F76" s="340">
        <f>'Rate Summary TOU-M and EV-HP'!$I$8*$D$15</f>
        <v>3723.2</v>
      </c>
      <c r="G76" s="341">
        <f t="shared" ref="G76:G78" si="25">SUM(D76:F76)</f>
        <v>8935.68</v>
      </c>
    </row>
    <row r="77" spans="2:73" x14ac:dyDescent="0.25">
      <c r="B77" s="336"/>
      <c r="C77" s="337"/>
      <c r="D77" s="342"/>
      <c r="E77" s="342"/>
      <c r="F77" s="342"/>
      <c r="G77" s="341"/>
    </row>
    <row r="78" spans="2:73" x14ac:dyDescent="0.25">
      <c r="B78" s="150" t="s">
        <v>148</v>
      </c>
      <c r="C78" s="96" t="s">
        <v>111</v>
      </c>
      <c r="D78" s="282">
        <f>(D29*'Rate Summary TOU-M and EV-HP'!$I$10+D30*'Rate Summary TOU-M and EV-HP'!$I$11)*$D$13</f>
        <v>72393.149999999994</v>
      </c>
      <c r="E78" s="282">
        <f>(E29*'Rate Summary TOU-M and EV-HP'!$I$10+E30*'Rate Summary TOU-M and EV-HP'!$I$11)*$D$14</f>
        <v>28957.26</v>
      </c>
      <c r="F78" s="282">
        <f>(F29*'Rate Summary TOU-M and EV-HP'!$I$10+F30*'Rate Summary TOU-M and EV-HP'!$I$11)*$D$15</f>
        <v>72393.149999999994</v>
      </c>
      <c r="G78" s="283">
        <f t="shared" si="25"/>
        <v>173743.56</v>
      </c>
    </row>
    <row r="79" spans="2:73" x14ac:dyDescent="0.25">
      <c r="B79" s="150"/>
      <c r="C79" s="96"/>
      <c r="D79" s="283"/>
      <c r="E79" s="283"/>
      <c r="F79" s="283"/>
      <c r="G79" s="283"/>
    </row>
    <row r="80" spans="2:73" x14ac:dyDescent="0.25">
      <c r="B80" s="150" t="s">
        <v>118</v>
      </c>
      <c r="C80" s="96"/>
      <c r="D80" s="283"/>
      <c r="E80" s="283"/>
      <c r="F80" s="283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282" t="s">
        <v>92</v>
      </c>
      <c r="G81" s="338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282" t="s">
        <v>92</v>
      </c>
      <c r="G82" s="338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282" t="s">
        <v>92</v>
      </c>
      <c r="G83" s="338" t="s">
        <v>92</v>
      </c>
    </row>
    <row r="84" spans="2:56" x14ac:dyDescent="0.25">
      <c r="B84" s="149"/>
      <c r="C84" s="149"/>
      <c r="D84" s="282"/>
      <c r="E84" s="282"/>
      <c r="F84" s="282"/>
      <c r="G84" s="282"/>
    </row>
    <row r="85" spans="2:56" x14ac:dyDescent="0.25">
      <c r="B85" s="100" t="s">
        <v>119</v>
      </c>
      <c r="C85" s="100"/>
      <c r="D85" s="282"/>
      <c r="E85" s="282"/>
      <c r="F85" s="282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282">
        <f>F38*'Rate Summary TOU-M and EV-HP'!$I21</f>
        <v>0</v>
      </c>
      <c r="G86" s="283">
        <f t="shared" ref="G86" si="26"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282">
        <f>F39*'Rate Summary TOU-M and EV-HP'!$I22</f>
        <v>0</v>
      </c>
      <c r="G87" s="283">
        <f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67050.500000000015</v>
      </c>
      <c r="E88" s="282">
        <f>E40*'Rate Summary TOU-M and EV-HP'!$I23</f>
        <v>27107.333333333336</v>
      </c>
      <c r="F88" s="282">
        <f>F40*'Rate Summary TOU-M and EV-HP'!$I23</f>
        <v>67768.333333333343</v>
      </c>
      <c r="G88" s="283">
        <f>SUM(D88:F88)</f>
        <v>161926.16666666669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108</v>
      </c>
      <c r="C90" s="96" t="s">
        <v>111</v>
      </c>
      <c r="D90" s="178">
        <v>0</v>
      </c>
      <c r="E90" s="178">
        <v>0</v>
      </c>
      <c r="F90" s="178">
        <v>0</v>
      </c>
      <c r="G90" s="179">
        <f t="shared" ref="G90:G91" si="27">SUM(D90:F90)</f>
        <v>0</v>
      </c>
    </row>
    <row r="91" spans="2:56" ht="15.75" thickBot="1" x14ac:dyDescent="0.3">
      <c r="B91" s="102" t="s">
        <v>44</v>
      </c>
      <c r="C91" s="180" t="s">
        <v>111</v>
      </c>
      <c r="D91" s="181">
        <v>0</v>
      </c>
      <c r="E91" s="181">
        <v>0</v>
      </c>
      <c r="F91" s="181">
        <v>0</v>
      </c>
      <c r="G91" s="182">
        <f t="shared" si="27"/>
        <v>0</v>
      </c>
    </row>
    <row r="92" spans="2:56" ht="15.75" thickBot="1" x14ac:dyDescent="0.3"/>
    <row r="93" spans="2:56" ht="15.75" thickBot="1" x14ac:dyDescent="0.3">
      <c r="B93" s="266" t="s">
        <v>7</v>
      </c>
      <c r="C93" s="190"/>
      <c r="D93" s="279">
        <f>SUM(D75:D91)</f>
        <v>143166.85</v>
      </c>
      <c r="E93" s="279">
        <f t="shared" ref="E93:G93" si="28">SUM(E75:E91)</f>
        <v>57553.873333333337</v>
      </c>
      <c r="F93" s="279">
        <f t="shared" si="28"/>
        <v>143884.68333333335</v>
      </c>
      <c r="G93" s="279">
        <f t="shared" si="28"/>
        <v>344605.40666666668</v>
      </c>
    </row>
    <row r="94" spans="2:56" x14ac:dyDescent="0.25">
      <c r="B94" s="189" t="s">
        <v>8</v>
      </c>
      <c r="C94" s="190"/>
      <c r="D94" s="279">
        <f>D93/5</f>
        <v>28633.370000000003</v>
      </c>
      <c r="E94" s="290">
        <f>E93/2</f>
        <v>28776.936666666668</v>
      </c>
      <c r="F94" s="279">
        <f>F93/5</f>
        <v>28776.936666666668</v>
      </c>
      <c r="G94" s="291">
        <f>G93/12</f>
        <v>28717.117222222223</v>
      </c>
    </row>
    <row r="95" spans="2:56" x14ac:dyDescent="0.25">
      <c r="B95" s="273" t="s">
        <v>9</v>
      </c>
      <c r="C95" s="268"/>
      <c r="D95" s="172">
        <f>D93/(D38+D39+D40)</f>
        <v>0.23534276712328761</v>
      </c>
      <c r="E95" s="269">
        <f>E93/(E38+E39+E40)</f>
        <v>0.23652276712328765</v>
      </c>
      <c r="F95" s="172">
        <f>F93/(F38+F39+F40)</f>
        <v>0.23652276712328762</v>
      </c>
      <c r="G95" s="274">
        <f>G93/(G38+G39+G40)</f>
        <v>0.23603110045662093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0.51069380465753411</v>
      </c>
      <c r="E96" s="285">
        <f>E95*$D$11</f>
        <v>0.51325440465753414</v>
      </c>
      <c r="F96" s="285">
        <f>F95*$D$11</f>
        <v>0.51325440465753414</v>
      </c>
      <c r="G96" s="285">
        <f>G95*$D$11</f>
        <v>0.51218748799086744</v>
      </c>
    </row>
    <row r="97" spans="2:45" ht="15.75" thickBot="1" x14ac:dyDescent="0.3">
      <c r="B97" s="157" t="s">
        <v>131</v>
      </c>
      <c r="C97" s="158"/>
      <c r="D97" s="286">
        <f>(D69-D95)/D69</f>
        <v>-0.14768173263111475</v>
      </c>
      <c r="E97" s="195">
        <f>(E69-E95)/E69</f>
        <v>-0.14683677011392382</v>
      </c>
      <c r="F97" s="286">
        <f>(F69-F95)/F69</f>
        <v>-0.14683677011392385</v>
      </c>
      <c r="G97" s="196">
        <f>(G69-G95)/G69</f>
        <v>-0.14718765997873451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336" t="s">
        <v>89</v>
      </c>
      <c r="C102" s="337" t="s">
        <v>111</v>
      </c>
      <c r="D102" s="318" t="str">
        <f>D75</f>
        <v>NA</v>
      </c>
      <c r="E102" s="318" t="str">
        <f t="shared" ref="E102:G102" si="29">E75</f>
        <v>NA</v>
      </c>
      <c r="F102" s="318" t="str">
        <f t="shared" si="29"/>
        <v>NA</v>
      </c>
      <c r="G102" s="318" t="str">
        <f t="shared" si="29"/>
        <v>NA</v>
      </c>
      <c r="O102" s="197"/>
      <c r="P102" s="197"/>
      <c r="Q102" s="207"/>
      <c r="AS102" s="108"/>
    </row>
    <row r="103" spans="2:45" x14ac:dyDescent="0.25">
      <c r="B103" s="336" t="s">
        <v>27</v>
      </c>
      <c r="C103" s="337" t="s">
        <v>111</v>
      </c>
      <c r="D103" s="322">
        <f>D76</f>
        <v>3723.2</v>
      </c>
      <c r="E103" s="322">
        <f t="shared" ref="E103:G103" si="30">E76</f>
        <v>1489.28</v>
      </c>
      <c r="F103" s="322">
        <f t="shared" si="30"/>
        <v>3723.2</v>
      </c>
      <c r="G103" s="322">
        <f t="shared" si="30"/>
        <v>8935.68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148</v>
      </c>
      <c r="C105" s="96" t="s">
        <v>111</v>
      </c>
      <c r="D105" s="282">
        <f>D78*(1-$D$99)</f>
        <v>36196.574999999997</v>
      </c>
      <c r="E105" s="282">
        <f>E78*(1-$D$99)</f>
        <v>14478.63</v>
      </c>
      <c r="F105" s="282">
        <f>F78*(1-$D$99)</f>
        <v>36196.574999999997</v>
      </c>
      <c r="G105" s="282">
        <f>G78*(1-$D$99)</f>
        <v>86871.78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G110" si="31">D81</f>
        <v>NA</v>
      </c>
      <c r="E108" s="282" t="str">
        <f t="shared" si="31"/>
        <v>NA</v>
      </c>
      <c r="F108" s="282" t="str">
        <f t="shared" si="31"/>
        <v>NA</v>
      </c>
      <c r="G108" s="283" t="str">
        <f t="shared" si="31"/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31"/>
        <v>NA</v>
      </c>
      <c r="E109" s="282" t="str">
        <f t="shared" si="31"/>
        <v>NA</v>
      </c>
      <c r="F109" s="282" t="str">
        <f t="shared" si="31"/>
        <v>NA</v>
      </c>
      <c r="G109" s="283" t="str">
        <f t="shared" si="31"/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31"/>
        <v>NA</v>
      </c>
      <c r="E110" s="282" t="str">
        <f t="shared" si="31"/>
        <v>NA</v>
      </c>
      <c r="F110" s="282" t="str">
        <f t="shared" si="31"/>
        <v>NA</v>
      </c>
      <c r="G110" s="283" t="str">
        <f t="shared" si="31"/>
        <v>NA</v>
      </c>
    </row>
    <row r="111" spans="2:45" x14ac:dyDescent="0.25">
      <c r="B111" s="149"/>
      <c r="C111" s="149"/>
      <c r="D111" s="282"/>
      <c r="E111" s="282"/>
      <c r="F111" s="282"/>
      <c r="G111" s="282"/>
    </row>
    <row r="112" spans="2:45" x14ac:dyDescent="0.25">
      <c r="B112" s="100" t="s">
        <v>119</v>
      </c>
      <c r="C112" s="100"/>
      <c r="D112" s="282"/>
      <c r="E112" s="282"/>
      <c r="F112" s="282"/>
      <c r="G112" s="282"/>
    </row>
    <row r="113" spans="2:14" x14ac:dyDescent="0.25">
      <c r="B113" s="100" t="s">
        <v>45</v>
      </c>
      <c r="C113" s="96" t="s">
        <v>111</v>
      </c>
      <c r="D113" s="282">
        <f t="shared" ref="D113:G115" si="32">D86</f>
        <v>0</v>
      </c>
      <c r="E113" s="282">
        <f t="shared" si="32"/>
        <v>0</v>
      </c>
      <c r="F113" s="282">
        <f t="shared" si="32"/>
        <v>0</v>
      </c>
      <c r="G113" s="283">
        <f t="shared" si="32"/>
        <v>0</v>
      </c>
    </row>
    <row r="114" spans="2:14" x14ac:dyDescent="0.25">
      <c r="B114" s="100" t="s">
        <v>46</v>
      </c>
      <c r="C114" s="96" t="s">
        <v>111</v>
      </c>
      <c r="D114" s="282">
        <f t="shared" si="32"/>
        <v>0</v>
      </c>
      <c r="E114" s="282">
        <f t="shared" si="32"/>
        <v>0</v>
      </c>
      <c r="F114" s="282">
        <f t="shared" si="32"/>
        <v>0</v>
      </c>
      <c r="G114" s="283">
        <f t="shared" si="32"/>
        <v>0</v>
      </c>
    </row>
    <row r="115" spans="2:14" x14ac:dyDescent="0.25">
      <c r="B115" s="100" t="s">
        <v>48</v>
      </c>
      <c r="C115" s="96" t="s">
        <v>111</v>
      </c>
      <c r="D115" s="282">
        <f t="shared" si="32"/>
        <v>67050.500000000015</v>
      </c>
      <c r="E115" s="282">
        <f t="shared" si="32"/>
        <v>27107.333333333336</v>
      </c>
      <c r="F115" s="282">
        <f t="shared" si="32"/>
        <v>67768.333333333343</v>
      </c>
      <c r="G115" s="283">
        <f t="shared" si="32"/>
        <v>161926.16666666669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5" t="s">
        <v>134</v>
      </c>
      <c r="L116" s="385" t="s">
        <v>135</v>
      </c>
      <c r="M116" s="385" t="s">
        <v>136</v>
      </c>
      <c r="N116" s="385" t="s">
        <v>149</v>
      </c>
    </row>
    <row r="117" spans="2:14" x14ac:dyDescent="0.25">
      <c r="B117" s="100" t="s">
        <v>108</v>
      </c>
      <c r="C117" s="96" t="s">
        <v>111</v>
      </c>
      <c r="D117" s="178">
        <f t="shared" ref="D117:G118" si="33">D90</f>
        <v>0</v>
      </c>
      <c r="E117" s="178">
        <f t="shared" si="33"/>
        <v>0</v>
      </c>
      <c r="F117" s="178">
        <f t="shared" si="33"/>
        <v>0</v>
      </c>
      <c r="G117" s="179">
        <f t="shared" si="33"/>
        <v>0</v>
      </c>
      <c r="J117" s="10" t="s">
        <v>23</v>
      </c>
      <c r="K117" s="379">
        <f>D49/5</f>
        <v>101.56</v>
      </c>
      <c r="L117" s="379">
        <f>D76/5</f>
        <v>744.64</v>
      </c>
      <c r="M117" s="379">
        <f>L117</f>
        <v>744.64</v>
      </c>
      <c r="N117" s="379">
        <v>0</v>
      </c>
    </row>
    <row r="118" spans="2:14" ht="15.75" thickBot="1" x14ac:dyDescent="0.3">
      <c r="B118" s="102" t="s">
        <v>44</v>
      </c>
      <c r="C118" s="180" t="s">
        <v>111</v>
      </c>
      <c r="D118" s="181">
        <f t="shared" si="33"/>
        <v>0</v>
      </c>
      <c r="E118" s="181">
        <f t="shared" si="33"/>
        <v>0</v>
      </c>
      <c r="F118" s="181">
        <f t="shared" si="33"/>
        <v>0</v>
      </c>
      <c r="G118" s="182">
        <f t="shared" si="33"/>
        <v>0</v>
      </c>
      <c r="J118" s="10" t="s">
        <v>32</v>
      </c>
      <c r="K118" s="379">
        <f>(D55+D56)/5</f>
        <v>3552.0000000000009</v>
      </c>
      <c r="L118" s="379">
        <v>0</v>
      </c>
      <c r="M118" s="379">
        <f t="shared" ref="M118:M120" si="34">L118</f>
        <v>0</v>
      </c>
      <c r="N118" s="379">
        <v>0</v>
      </c>
    </row>
    <row r="119" spans="2:14" ht="15.75" thickBot="1" x14ac:dyDescent="0.3">
      <c r="J119" s="10" t="s">
        <v>132</v>
      </c>
      <c r="K119" s="379">
        <v>0</v>
      </c>
      <c r="L119" s="379">
        <f>(D78)/5</f>
        <v>14478.63</v>
      </c>
      <c r="M119" s="379">
        <f>L119*(1-D16)</f>
        <v>7239.3149999999996</v>
      </c>
      <c r="N119" s="379">
        <v>0</v>
      </c>
    </row>
    <row r="120" spans="2:14" ht="15.75" thickBot="1" x14ac:dyDescent="0.3">
      <c r="B120" s="266" t="s">
        <v>7</v>
      </c>
      <c r="C120" s="190"/>
      <c r="D120" s="279">
        <f>SUM(D102:D118)</f>
        <v>106970.27500000001</v>
      </c>
      <c r="E120" s="279">
        <f t="shared" ref="E120:G120" si="35">SUM(E102:E118)</f>
        <v>43075.243333333332</v>
      </c>
      <c r="F120" s="279">
        <f t="shared" si="35"/>
        <v>107688.10833333334</v>
      </c>
      <c r="G120" s="279">
        <f t="shared" si="35"/>
        <v>257733.62666666668</v>
      </c>
      <c r="J120" s="10" t="s">
        <v>138</v>
      </c>
      <c r="K120" s="379">
        <f>(D60+D61+D62)/5</f>
        <v>21295.316666666673</v>
      </c>
      <c r="L120" s="379">
        <f>(D86+D87+D88)/5</f>
        <v>13410.100000000002</v>
      </c>
      <c r="M120" s="379">
        <f t="shared" si="34"/>
        <v>13410.100000000002</v>
      </c>
      <c r="N120" s="379">
        <v>0</v>
      </c>
    </row>
    <row r="121" spans="2:14" x14ac:dyDescent="0.25">
      <c r="B121" s="189" t="s">
        <v>8</v>
      </c>
      <c r="C121" s="190"/>
      <c r="D121" s="279">
        <f>D120/5</f>
        <v>21394.055</v>
      </c>
      <c r="E121" s="290">
        <f>E120/2</f>
        <v>21537.621666666666</v>
      </c>
      <c r="F121" s="279">
        <f>F120/5</f>
        <v>21537.621666666666</v>
      </c>
      <c r="G121" s="291">
        <f>G120/12</f>
        <v>21477.802222222224</v>
      </c>
      <c r="J121" s="381" t="s">
        <v>149</v>
      </c>
      <c r="K121" s="382">
        <v>0</v>
      </c>
      <c r="L121" s="382">
        <v>0</v>
      </c>
      <c r="M121" s="382">
        <v>0</v>
      </c>
      <c r="N121" s="382">
        <f>K52</f>
        <v>29735.429449199051</v>
      </c>
    </row>
    <row r="122" spans="2:14" x14ac:dyDescent="0.25">
      <c r="B122" s="273" t="s">
        <v>9</v>
      </c>
      <c r="C122" s="268"/>
      <c r="D122" s="172">
        <f>D120/(D38+D39+D40)</f>
        <v>0.17584154794520546</v>
      </c>
      <c r="E122" s="269">
        <f>E120/(E38+E39+E40)</f>
        <v>0.17702154794520544</v>
      </c>
      <c r="F122" s="172">
        <f>F120/(F38+F39+F40)</f>
        <v>0.17702154794520544</v>
      </c>
      <c r="G122" s="274">
        <f>G120/(G38+G39+G40)</f>
        <v>0.17652988127853877</v>
      </c>
      <c r="J122" s="151" t="s">
        <v>7</v>
      </c>
      <c r="K122" s="380">
        <f>SUM(K117:K121)</f>
        <v>24948.876666666674</v>
      </c>
      <c r="L122" s="380">
        <f>SUM(L117:L121)</f>
        <v>28633.370000000003</v>
      </c>
      <c r="M122" s="380">
        <f>SUM(M117:M121)</f>
        <v>21394.055</v>
      </c>
      <c r="N122" s="380">
        <f>SUM(N117:N121)</f>
        <v>29735.429449199051</v>
      </c>
    </row>
    <row r="123" spans="2:14" x14ac:dyDescent="0.25">
      <c r="B123" s="284" t="s">
        <v>129</v>
      </c>
      <c r="C123" s="270"/>
      <c r="D123" s="285">
        <f>D122*$D$11</f>
        <v>0.38157615904109582</v>
      </c>
      <c r="E123" s="285">
        <f>E122*$D$11</f>
        <v>0.38413675904109579</v>
      </c>
      <c r="F123" s="285">
        <f>F122*$D$11</f>
        <v>0.38413675904109579</v>
      </c>
      <c r="G123" s="285">
        <f>G122*$D$11</f>
        <v>0.38306984237442915</v>
      </c>
    </row>
    <row r="124" spans="2:14" ht="15.75" thickBot="1" x14ac:dyDescent="0.3">
      <c r="B124" s="157" t="s">
        <v>131</v>
      </c>
      <c r="C124" s="158"/>
      <c r="D124" s="286">
        <f>(D69-D122)/D69</f>
        <v>0.14248423743326871</v>
      </c>
      <c r="E124" s="195">
        <f>(E69-E122)/E69</f>
        <v>0.14166901243707797</v>
      </c>
      <c r="F124" s="286">
        <f>(F69-F122)/F69</f>
        <v>0.14166901243707786</v>
      </c>
      <c r="G124" s="196">
        <f>(G69-G122)/G69</f>
        <v>0.14200755312129038</v>
      </c>
    </row>
  </sheetData>
  <dataConsolidate/>
  <conditionalFormatting sqref="K3:AE3 K4:P4 U4:AE4">
    <cfRule type="cellIs" dxfId="155" priority="41" operator="equal">
      <formula>"SOP"</formula>
    </cfRule>
    <cfRule type="cellIs" dxfId="154" priority="42" operator="equal">
      <formula>"Peak"</formula>
    </cfRule>
    <cfRule type="cellIs" dxfId="153" priority="43" operator="equal">
      <formula>"Partial"</formula>
    </cfRule>
    <cfRule type="cellIs" dxfId="152" priority="44" operator="equal">
      <formula>"Off"</formula>
    </cfRule>
  </conditionalFormatting>
  <conditionalFormatting sqref="K5:P5 AA5:AE5">
    <cfRule type="cellIs" dxfId="151" priority="37" operator="equal">
      <formula>"SOP"</formula>
    </cfRule>
    <cfRule type="cellIs" dxfId="150" priority="38" operator="equal">
      <formula>"Peak"</formula>
    </cfRule>
    <cfRule type="cellIs" dxfId="149" priority="39" operator="equal">
      <formula>"Partial"</formula>
    </cfRule>
    <cfRule type="cellIs" dxfId="148" priority="40" operator="equal">
      <formula>"Off"</formula>
    </cfRule>
  </conditionalFormatting>
  <conditionalFormatting sqref="Q5:Z5">
    <cfRule type="cellIs" dxfId="147" priority="33" operator="equal">
      <formula>"SOP"</formula>
    </cfRule>
    <cfRule type="cellIs" dxfId="146" priority="34" operator="equal">
      <formula>"Peak"</formula>
    </cfRule>
    <cfRule type="cellIs" dxfId="145" priority="35" operator="equal">
      <formula>"Partial"</formula>
    </cfRule>
    <cfRule type="cellIs" dxfId="144" priority="36" operator="equal">
      <formula>"Off"</formula>
    </cfRule>
  </conditionalFormatting>
  <conditionalFormatting sqref="AF3:AH4">
    <cfRule type="cellIs" dxfId="143" priority="25" operator="equal">
      <formula>"SOP"</formula>
    </cfRule>
    <cfRule type="cellIs" dxfId="142" priority="26" operator="equal">
      <formula>"Peak"</formula>
    </cfRule>
    <cfRule type="cellIs" dxfId="141" priority="27" operator="equal">
      <formula>"Partial"</formula>
    </cfRule>
    <cfRule type="cellIs" dxfId="140" priority="28" operator="equal">
      <formula>"Off"</formula>
    </cfRule>
  </conditionalFormatting>
  <conditionalFormatting sqref="AF5:AH5">
    <cfRule type="cellIs" dxfId="139" priority="21" operator="equal">
      <formula>"SOP"</formula>
    </cfRule>
    <cfRule type="cellIs" dxfId="138" priority="22" operator="equal">
      <formula>"Peak"</formula>
    </cfRule>
    <cfRule type="cellIs" dxfId="137" priority="23" operator="equal">
      <formula>"Partial"</formula>
    </cfRule>
    <cfRule type="cellIs" dxfId="136" priority="24" operator="equal">
      <formula>"Off"</formula>
    </cfRule>
  </conditionalFormatting>
  <conditionalFormatting sqref="Q4:T4">
    <cfRule type="cellIs" dxfId="135" priority="29" operator="equal">
      <formula>"SOP"</formula>
    </cfRule>
    <cfRule type="cellIs" dxfId="134" priority="30" operator="equal">
      <formula>"Peak"</formula>
    </cfRule>
    <cfRule type="cellIs" dxfId="133" priority="31" operator="equal">
      <formula>"Partial"</formula>
    </cfRule>
    <cfRule type="cellIs" dxfId="132" priority="32" operator="equal">
      <formula>"Off"</formula>
    </cfRule>
  </conditionalFormatting>
  <conditionalFormatting sqref="K10:AE11">
    <cfRule type="cellIs" dxfId="131" priority="17" operator="equal">
      <formula>"SOP"</formula>
    </cfRule>
    <cfRule type="cellIs" dxfId="130" priority="18" operator="equal">
      <formula>"Peak"</formula>
    </cfRule>
    <cfRule type="cellIs" dxfId="129" priority="19" operator="equal">
      <formula>"Partial"</formula>
    </cfRule>
    <cfRule type="cellIs" dxfId="128" priority="20" operator="equal">
      <formula>"Off"</formula>
    </cfRule>
  </conditionalFormatting>
  <conditionalFormatting sqref="AA12:AE12 K12:X12">
    <cfRule type="cellIs" dxfId="127" priority="13" operator="equal">
      <formula>"SOP"</formula>
    </cfRule>
    <cfRule type="cellIs" dxfId="126" priority="14" operator="equal">
      <formula>"Peak"</formula>
    </cfRule>
    <cfRule type="cellIs" dxfId="125" priority="15" operator="equal">
      <formula>"Partial"</formula>
    </cfRule>
    <cfRule type="cellIs" dxfId="124" priority="16" operator="equal">
      <formula>"Off"</formula>
    </cfRule>
  </conditionalFormatting>
  <conditionalFormatting sqref="Y12:Z12">
    <cfRule type="cellIs" dxfId="123" priority="9" operator="equal">
      <formula>"SOP"</formula>
    </cfRule>
    <cfRule type="cellIs" dxfId="122" priority="10" operator="equal">
      <formula>"Peak"</formula>
    </cfRule>
    <cfRule type="cellIs" dxfId="121" priority="11" operator="equal">
      <formula>"Partial"</formula>
    </cfRule>
    <cfRule type="cellIs" dxfId="120" priority="12" operator="equal">
      <formula>"Off"</formula>
    </cfRule>
  </conditionalFormatting>
  <conditionalFormatting sqref="AF10:AH11">
    <cfRule type="cellIs" dxfId="119" priority="5" operator="equal">
      <formula>"SOP"</formula>
    </cfRule>
    <cfRule type="cellIs" dxfId="118" priority="6" operator="equal">
      <formula>"Peak"</formula>
    </cfRule>
    <cfRule type="cellIs" dxfId="117" priority="7" operator="equal">
      <formula>"Partial"</formula>
    </cfRule>
    <cfRule type="cellIs" dxfId="116" priority="8" operator="equal">
      <formula>"Off"</formula>
    </cfRule>
  </conditionalFormatting>
  <conditionalFormatting sqref="AF12:AH12">
    <cfRule type="cellIs" dxfId="115" priority="1" operator="equal">
      <formula>"SOP"</formula>
    </cfRule>
    <cfRule type="cellIs" dxfId="114" priority="2" operator="equal">
      <formula>"Peak"</formula>
    </cfRule>
    <cfRule type="cellIs" dxfId="113" priority="3" operator="equal">
      <formula>"Partial"</formula>
    </cfRule>
    <cfRule type="cellIs" dxfId="112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BU124"/>
  <sheetViews>
    <sheetView topLeftCell="A40" zoomScale="60" zoomScaleNormal="60" workbookViewId="0">
      <selection activeCell="J62" sqref="J62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19"/>
    </row>
    <row r="2" spans="2:62" ht="15" customHeight="1" x14ac:dyDescent="0.25">
      <c r="B2" s="353" t="s">
        <v>55</v>
      </c>
      <c r="C2" s="122"/>
      <c r="D2" s="388">
        <f>D12/D10/D8/D4</f>
        <v>48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57</v>
      </c>
      <c r="C3" s="124"/>
      <c r="D3" s="357">
        <f>(D2*D11)/D5</f>
        <v>3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59</v>
      </c>
      <c r="C4" s="124"/>
      <c r="D4" s="254">
        <v>20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60</v>
      </c>
      <c r="C5" s="124"/>
      <c r="D5" s="254">
        <v>20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62</v>
      </c>
      <c r="C6" s="124"/>
      <c r="D6" s="255">
        <f>D5*D4</f>
        <v>400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8.9285714285714302E-2</v>
      </c>
      <c r="J7" s="129" t="s">
        <v>64</v>
      </c>
      <c r="K7" s="113">
        <f>Q35</f>
        <v>400</v>
      </c>
      <c r="L7" s="113">
        <f>Q36</f>
        <v>400</v>
      </c>
      <c r="M7" s="113">
        <f>Q37</f>
        <v>400</v>
      </c>
      <c r="N7" s="113">
        <f>Q38</f>
        <v>0</v>
      </c>
      <c r="O7" s="113">
        <f>Q39</f>
        <v>0</v>
      </c>
      <c r="P7" s="113">
        <f>Q40</f>
        <v>0</v>
      </c>
      <c r="Q7" s="113">
        <f>Q41</f>
        <v>0</v>
      </c>
      <c r="R7" s="113">
        <f>Q42</f>
        <v>0</v>
      </c>
      <c r="S7" s="113">
        <f>Q43</f>
        <v>0</v>
      </c>
      <c r="T7" s="113">
        <f>Q44</f>
        <v>0</v>
      </c>
      <c r="U7" s="113">
        <f>Q45</f>
        <v>0</v>
      </c>
      <c r="V7" s="113">
        <f>Q46</f>
        <v>0</v>
      </c>
      <c r="W7" s="113">
        <f>Q47</f>
        <v>0</v>
      </c>
      <c r="X7" s="113">
        <f>Q48</f>
        <v>0</v>
      </c>
      <c r="Y7" s="113">
        <f>Q49</f>
        <v>0</v>
      </c>
      <c r="Z7" s="113">
        <f>Q50</f>
        <v>0</v>
      </c>
      <c r="AA7" s="113">
        <f>Q51</f>
        <v>0</v>
      </c>
      <c r="AB7" s="113">
        <f>Q52</f>
        <v>0</v>
      </c>
      <c r="AC7" s="113">
        <f>Q53</f>
        <v>0</v>
      </c>
      <c r="AD7" s="113">
        <f>Q54</f>
        <v>0</v>
      </c>
      <c r="AE7" s="113">
        <f>Q55</f>
        <v>0</v>
      </c>
      <c r="AF7" s="113">
        <f>Q56</f>
        <v>0</v>
      </c>
      <c r="AG7" s="113">
        <f>Q57</f>
        <v>0</v>
      </c>
      <c r="AH7" s="113">
        <f>Q58</f>
        <v>0</v>
      </c>
      <c r="BG7" s="16"/>
    </row>
    <row r="8" spans="2:62" ht="15" customHeight="1" thickBot="1" x14ac:dyDescent="0.3">
      <c r="B8" s="123" t="s">
        <v>65</v>
      </c>
      <c r="C8" s="124"/>
      <c r="D8" s="254">
        <v>5</v>
      </c>
      <c r="E8" s="210"/>
      <c r="K8" s="209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23" t="s">
        <v>69</v>
      </c>
      <c r="C11" s="124"/>
      <c r="D11" s="255">
        <v>1.25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354" t="s">
        <v>70</v>
      </c>
      <c r="C12" s="355"/>
      <c r="D12" s="356">
        <f>(K49/D11)/12</f>
        <v>20857.142857142859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73</v>
      </c>
      <c r="C15" s="139"/>
      <c r="D15" s="258">
        <f>12-D13-D14</f>
        <v>5</v>
      </c>
    </row>
    <row r="16" spans="2:62" ht="15" customHeight="1" thickBot="1" x14ac:dyDescent="0.3">
      <c r="B16" s="140" t="s">
        <v>74</v>
      </c>
      <c r="C16" s="141"/>
      <c r="D16" s="265">
        <v>0.5</v>
      </c>
      <c r="J16" s="21" t="s">
        <v>75</v>
      </c>
    </row>
    <row r="17" spans="2:34" ht="15" customHeight="1" thickBot="1" x14ac:dyDescent="0.3">
      <c r="B17" s="143" t="s">
        <v>76</v>
      </c>
      <c r="C17" s="144"/>
      <c r="D17" s="260">
        <v>8</v>
      </c>
      <c r="E17" s="10" t="s">
        <v>77</v>
      </c>
      <c r="J17" s="186" t="s">
        <v>3</v>
      </c>
    </row>
    <row r="18" spans="2:34" ht="15" customHeight="1" thickBot="1" x14ac:dyDescent="0.3">
      <c r="B18" s="143" t="s">
        <v>78</v>
      </c>
      <c r="C18" s="144"/>
      <c r="D18" s="261" t="s">
        <v>79</v>
      </c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0</v>
      </c>
      <c r="AB18" s="309">
        <f t="shared" si="0"/>
        <v>0</v>
      </c>
      <c r="AC18" s="309">
        <f t="shared" si="0"/>
        <v>0</v>
      </c>
      <c r="AD18" s="309">
        <f t="shared" si="0"/>
        <v>0</v>
      </c>
      <c r="AE18" s="309">
        <f t="shared" si="0"/>
        <v>0</v>
      </c>
      <c r="AF18" s="308"/>
      <c r="AG18" s="308"/>
      <c r="AH18" s="308"/>
    </row>
    <row r="19" spans="2:34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0</v>
      </c>
      <c r="R19" s="310">
        <f t="shared" ref="R19:X19" si="1">R$7*5</f>
        <v>0</v>
      </c>
      <c r="S19" s="310">
        <f t="shared" si="1"/>
        <v>0</v>
      </c>
      <c r="T19" s="310">
        <f t="shared" si="1"/>
        <v>0</v>
      </c>
      <c r="U19" s="310">
        <f t="shared" si="1"/>
        <v>0</v>
      </c>
      <c r="V19" s="310">
        <f t="shared" si="1"/>
        <v>0</v>
      </c>
      <c r="W19" s="310">
        <f t="shared" si="1"/>
        <v>0</v>
      </c>
      <c r="X19" s="310">
        <f t="shared" si="1"/>
        <v>0</v>
      </c>
      <c r="Y19" s="310">
        <f t="shared" ref="Y19:Z19" si="2">Y$7*5+Y$14*2</f>
        <v>0</v>
      </c>
      <c r="Z19" s="310">
        <f t="shared" si="2"/>
        <v>0</v>
      </c>
      <c r="AA19" s="308"/>
      <c r="AB19" s="308"/>
      <c r="AC19" s="308"/>
      <c r="AD19" s="308"/>
      <c r="AE19" s="308"/>
      <c r="AF19" s="310">
        <f>AF$7*5+AF$14*2</f>
        <v>0</v>
      </c>
      <c r="AG19" s="310">
        <f t="shared" si="0"/>
        <v>0</v>
      </c>
      <c r="AH19" s="310">
        <f t="shared" si="0"/>
        <v>0</v>
      </c>
    </row>
    <row r="20" spans="2:34" ht="15" customHeight="1" thickBot="1" x14ac:dyDescent="0.3">
      <c r="B20" s="232" t="s">
        <v>83</v>
      </c>
      <c r="C20" s="233"/>
      <c r="D20" s="263">
        <f>'Incumbent fuels'!C3</f>
        <v>3.9153333333333333</v>
      </c>
      <c r="J20" s="146" t="s">
        <v>84</v>
      </c>
      <c r="K20" s="311">
        <f>K$7*5+K$14*2</f>
        <v>2000</v>
      </c>
      <c r="L20" s="311">
        <f t="shared" ref="L20:P20" si="3">L$7*5+L$14*2</f>
        <v>2000</v>
      </c>
      <c r="M20" s="311">
        <f t="shared" si="3"/>
        <v>2000</v>
      </c>
      <c r="N20" s="311">
        <f t="shared" si="3"/>
        <v>0</v>
      </c>
      <c r="O20" s="311">
        <f t="shared" si="3"/>
        <v>0</v>
      </c>
      <c r="P20" s="311">
        <f t="shared" si="3"/>
        <v>0</v>
      </c>
      <c r="Q20" s="311">
        <f>Q$14*2</f>
        <v>0</v>
      </c>
      <c r="R20" s="311">
        <f t="shared" ref="R20:X20" si="4">R$14*2</f>
        <v>0</v>
      </c>
      <c r="S20" s="311">
        <f t="shared" si="4"/>
        <v>0</v>
      </c>
      <c r="T20" s="311">
        <f t="shared" si="4"/>
        <v>0</v>
      </c>
      <c r="U20" s="311">
        <f t="shared" si="4"/>
        <v>0</v>
      </c>
      <c r="V20" s="311">
        <f t="shared" si="4"/>
        <v>0</v>
      </c>
      <c r="W20" s="311">
        <f t="shared" si="4"/>
        <v>0</v>
      </c>
      <c r="X20" s="311">
        <f t="shared" si="4"/>
        <v>0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</row>
    <row r="21" spans="2:34" ht="15" customHeight="1" thickBot="1" x14ac:dyDescent="0.3">
      <c r="B21" s="234" t="s">
        <v>85</v>
      </c>
      <c r="C21" s="235"/>
      <c r="D21" s="264">
        <v>8</v>
      </c>
    </row>
    <row r="22" spans="2:34" ht="15" customHeight="1" thickBot="1" x14ac:dyDescent="0.3">
      <c r="C22" s="376" t="s">
        <v>86</v>
      </c>
      <c r="D22" s="375">
        <f>IF(ROUND(D3,2)=O59,1,0)</f>
        <v>1</v>
      </c>
      <c r="J22" s="187" t="s">
        <v>4</v>
      </c>
    </row>
    <row r="23" spans="2:34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5">AA$7*5+AA$14*2</f>
        <v>0</v>
      </c>
      <c r="AB23" s="309">
        <f t="shared" si="5"/>
        <v>0</v>
      </c>
      <c r="AC23" s="309">
        <f t="shared" si="5"/>
        <v>0</v>
      </c>
      <c r="AD23" s="309">
        <f t="shared" si="5"/>
        <v>0</v>
      </c>
      <c r="AE23" s="309">
        <f t="shared" si="5"/>
        <v>0</v>
      </c>
      <c r="AF23" s="308"/>
      <c r="AG23" s="308"/>
      <c r="AH23" s="308"/>
    </row>
    <row r="24" spans="2:34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6">Q$7*5+Q$14*2</f>
        <v>0</v>
      </c>
      <c r="R24" s="310">
        <f t="shared" si="6"/>
        <v>0</v>
      </c>
      <c r="S24" s="310">
        <f t="shared" si="6"/>
        <v>0</v>
      </c>
      <c r="T24" s="310">
        <f t="shared" ref="T24" si="7">T$7*5</f>
        <v>0</v>
      </c>
      <c r="U24" s="312"/>
      <c r="V24" s="312"/>
      <c r="W24" s="312"/>
      <c r="X24" s="312"/>
      <c r="Y24" s="310">
        <f t="shared" si="6"/>
        <v>0</v>
      </c>
      <c r="Z24" s="310">
        <f t="shared" si="6"/>
        <v>0</v>
      </c>
      <c r="AA24" s="308"/>
      <c r="AB24" s="308"/>
      <c r="AC24" s="308"/>
      <c r="AD24" s="308"/>
      <c r="AE24" s="308"/>
      <c r="AF24" s="310">
        <f>AF$7*5+AF$14*2</f>
        <v>0</v>
      </c>
      <c r="AG24" s="310">
        <f t="shared" si="5"/>
        <v>0</v>
      </c>
      <c r="AH24" s="310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311">
        <f t="shared" ref="K25:P25" si="8">K$7*5+K$14*2</f>
        <v>2000</v>
      </c>
      <c r="L25" s="311">
        <f t="shared" si="8"/>
        <v>2000</v>
      </c>
      <c r="M25" s="311">
        <f t="shared" si="8"/>
        <v>2000</v>
      </c>
      <c r="N25" s="311">
        <f t="shared" si="8"/>
        <v>0</v>
      </c>
      <c r="O25" s="311">
        <f t="shared" si="8"/>
        <v>0</v>
      </c>
      <c r="P25" s="311">
        <f t="shared" si="8"/>
        <v>0</v>
      </c>
      <c r="Q25" s="311">
        <f>Q$14*2</f>
        <v>0</v>
      </c>
      <c r="R25" s="311">
        <f t="shared" ref="R25:T25" si="9">R$14*2</f>
        <v>0</v>
      </c>
      <c r="S25" s="311">
        <f t="shared" si="9"/>
        <v>0</v>
      </c>
      <c r="T25" s="311">
        <f t="shared" si="9"/>
        <v>0</v>
      </c>
      <c r="U25" s="311">
        <f>U$7*5+U$14*2</f>
        <v>0</v>
      </c>
      <c r="V25" s="311">
        <f t="shared" ref="V25:X25" si="10">V$7*5+V$14*2</f>
        <v>0</v>
      </c>
      <c r="W25" s="311">
        <f t="shared" si="10"/>
        <v>0</v>
      </c>
      <c r="X25" s="311">
        <f t="shared" si="10"/>
        <v>0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5" customHeight="1" thickBot="1" x14ac:dyDescent="0.3">
      <c r="B26" s="149" t="s">
        <v>89</v>
      </c>
      <c r="C26" s="96" t="s">
        <v>90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4" ht="15" customHeight="1" thickBot="1" x14ac:dyDescent="0.3">
      <c r="B27" s="149" t="s">
        <v>27</v>
      </c>
      <c r="C27" s="96" t="s">
        <v>90</v>
      </c>
      <c r="D27" s="97" t="s">
        <v>92</v>
      </c>
      <c r="E27" s="97" t="s">
        <v>92</v>
      </c>
      <c r="F27" s="97" t="s">
        <v>92</v>
      </c>
      <c r="G27" s="97" t="s">
        <v>92</v>
      </c>
      <c r="J27" s="188" t="s">
        <v>61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0</v>
      </c>
      <c r="AB28" s="309">
        <f t="shared" si="11"/>
        <v>0</v>
      </c>
      <c r="AC28" s="309">
        <f t="shared" si="11"/>
        <v>0</v>
      </c>
      <c r="AD28" s="309">
        <f t="shared" si="11"/>
        <v>0</v>
      </c>
      <c r="AE28" s="309">
        <f t="shared" si="11"/>
        <v>0</v>
      </c>
      <c r="AF28" s="308"/>
      <c r="AG28" s="308"/>
      <c r="AH28" s="308"/>
    </row>
    <row r="29" spans="2:34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2">Q$7*5</f>
        <v>0</v>
      </c>
      <c r="R29" s="310">
        <f t="shared" si="12"/>
        <v>0</v>
      </c>
      <c r="S29" s="310">
        <f t="shared" si="12"/>
        <v>0</v>
      </c>
      <c r="T29" s="310">
        <f t="shared" si="12"/>
        <v>0</v>
      </c>
      <c r="U29" s="310">
        <f t="shared" si="12"/>
        <v>0</v>
      </c>
      <c r="V29" s="310">
        <f t="shared" si="12"/>
        <v>0</v>
      </c>
      <c r="W29" s="310">
        <f t="shared" si="12"/>
        <v>0</v>
      </c>
      <c r="X29" s="310">
        <f>X$7*5</f>
        <v>0</v>
      </c>
      <c r="Y29" s="310">
        <f t="shared" ref="Y29:Z29" si="13">Y$7*5+Y$14*2</f>
        <v>0</v>
      </c>
      <c r="Z29" s="310">
        <f t="shared" si="13"/>
        <v>0</v>
      </c>
      <c r="AA29" s="308"/>
      <c r="AB29" s="308"/>
      <c r="AC29" s="308"/>
      <c r="AD29" s="308"/>
      <c r="AE29" s="308"/>
      <c r="AF29" s="310">
        <f>AF$7*5+AF$14*2</f>
        <v>0</v>
      </c>
      <c r="AG29" s="310">
        <f t="shared" si="11"/>
        <v>0</v>
      </c>
      <c r="AH29" s="310">
        <f t="shared" si="11"/>
        <v>0</v>
      </c>
    </row>
    <row r="30" spans="2:34" ht="15" customHeight="1" thickBot="1" x14ac:dyDescent="0.3">
      <c r="B30" s="150" t="s">
        <v>93</v>
      </c>
      <c r="C30" s="96" t="s">
        <v>95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84</v>
      </c>
      <c r="K30" s="311">
        <f t="shared" ref="K30:P30" si="15">K$7*5+K$14*2</f>
        <v>2000</v>
      </c>
      <c r="L30" s="311">
        <f t="shared" si="15"/>
        <v>2000</v>
      </c>
      <c r="M30" s="311">
        <f t="shared" si="15"/>
        <v>2000</v>
      </c>
      <c r="N30" s="311">
        <f t="shared" si="15"/>
        <v>0</v>
      </c>
      <c r="O30" s="311">
        <f t="shared" si="15"/>
        <v>0</v>
      </c>
      <c r="P30" s="311">
        <f t="shared" si="15"/>
        <v>0</v>
      </c>
      <c r="Q30" s="311">
        <f>Q$14*2</f>
        <v>0</v>
      </c>
      <c r="R30" s="311">
        <f t="shared" ref="R30:X30" si="16">R$14*2</f>
        <v>0</v>
      </c>
      <c r="S30" s="311">
        <f t="shared" si="16"/>
        <v>0</v>
      </c>
      <c r="T30" s="311">
        <f t="shared" si="16"/>
        <v>0</v>
      </c>
      <c r="U30" s="311">
        <f t="shared" si="16"/>
        <v>0</v>
      </c>
      <c r="V30" s="311">
        <f t="shared" si="16"/>
        <v>0</v>
      </c>
      <c r="W30" s="311">
        <f t="shared" si="16"/>
        <v>0</v>
      </c>
      <c r="X30" s="311">
        <f t="shared" si="16"/>
        <v>0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120"/>
      <c r="Q32" s="201"/>
    </row>
    <row r="33" spans="2:17" ht="15" customHeight="1" thickBot="1" x14ac:dyDescent="0.3">
      <c r="B33" s="149" t="s">
        <v>80</v>
      </c>
      <c r="C33" s="98" t="s">
        <v>97</v>
      </c>
      <c r="D33" s="247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98</v>
      </c>
      <c r="N33" s="14"/>
      <c r="O33" s="200" t="s">
        <v>99</v>
      </c>
      <c r="P33" s="184" t="s">
        <v>150</v>
      </c>
      <c r="Q33" s="202" t="s">
        <v>100</v>
      </c>
    </row>
    <row r="34" spans="2:17" ht="15" customHeight="1" thickBot="1" x14ac:dyDescent="0.3">
      <c r="B34" s="149" t="s">
        <v>101</v>
      </c>
      <c r="C34" s="98" t="s">
        <v>97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102</v>
      </c>
      <c r="O34" s="200" t="s">
        <v>103</v>
      </c>
      <c r="P34" s="22" t="s">
        <v>151</v>
      </c>
      <c r="Q34" s="202" t="s">
        <v>104</v>
      </c>
    </row>
    <row r="35" spans="2:17" ht="15" customHeight="1" x14ac:dyDescent="0.25">
      <c r="B35" s="149" t="s">
        <v>105</v>
      </c>
      <c r="C35" s="98" t="s">
        <v>97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3">
        <f t="shared" ref="P35:P58" si="18">O35/$O$59</f>
        <v>0.33333333333333331</v>
      </c>
      <c r="Q35" s="203">
        <f>O35*$D$4*$D$5</f>
        <v>400</v>
      </c>
    </row>
    <row r="36" spans="2:17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3">
        <f t="shared" si="18"/>
        <v>0.33333333333333331</v>
      </c>
      <c r="Q36" s="203">
        <f t="shared" ref="Q36:Q58" si="19">O36*$D$4*$D$5</f>
        <v>400</v>
      </c>
    </row>
    <row r="37" spans="2:17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130357.14285714288</v>
      </c>
      <c r="L37" s="129" t="s">
        <v>106</v>
      </c>
      <c r="N37" s="15">
        <v>8.3333333333333301E-2</v>
      </c>
      <c r="O37" s="211">
        <v>1</v>
      </c>
      <c r="P37" s="23">
        <f>O37/$O$59</f>
        <v>0.33333333333333331</v>
      </c>
      <c r="Q37" s="203">
        <f t="shared" si="19"/>
        <v>400</v>
      </c>
    </row>
    <row r="38" spans="2:17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1">
        <v>0</v>
      </c>
      <c r="P38" s="23">
        <f t="shared" si="18"/>
        <v>0</v>
      </c>
      <c r="Q38" s="203">
        <f t="shared" si="19"/>
        <v>0</v>
      </c>
    </row>
    <row r="39" spans="2:17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1">
        <v>0</v>
      </c>
      <c r="P39" s="23">
        <f t="shared" si="18"/>
        <v>0</v>
      </c>
      <c r="Q39" s="203">
        <f t="shared" si="19"/>
        <v>0</v>
      </c>
    </row>
    <row r="40" spans="2:17" ht="15" customHeight="1" x14ac:dyDescent="0.25">
      <c r="B40" s="100" t="s">
        <v>48</v>
      </c>
      <c r="C40" s="99" t="s">
        <v>106</v>
      </c>
      <c r="D40" s="101">
        <f>K37</f>
        <v>130357.14285714288</v>
      </c>
      <c r="E40" s="101">
        <f>K42</f>
        <v>52142.857142857152</v>
      </c>
      <c r="F40" s="101">
        <f>K47</f>
        <v>130357.14285714288</v>
      </c>
      <c r="G40" s="101">
        <f>D40+E40+F40</f>
        <v>312857.1428571429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3">
        <f t="shared" si="18"/>
        <v>0</v>
      </c>
      <c r="Q40" s="203">
        <f t="shared" si="19"/>
        <v>0</v>
      </c>
    </row>
    <row r="41" spans="2:17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3">
        <f t="shared" si="18"/>
        <v>0</v>
      </c>
      <c r="Q41" s="203">
        <f t="shared" si="19"/>
        <v>0</v>
      </c>
    </row>
    <row r="42" spans="2:17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52142.857142857152</v>
      </c>
      <c r="L42" s="129" t="s">
        <v>106</v>
      </c>
      <c r="N42" s="15">
        <v>0.29166666666666702</v>
      </c>
      <c r="O42" s="211">
        <v>0</v>
      </c>
      <c r="P42" s="23">
        <f t="shared" si="18"/>
        <v>0</v>
      </c>
      <c r="Q42" s="203">
        <f t="shared" si="19"/>
        <v>0</v>
      </c>
    </row>
    <row r="43" spans="2:17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3">
        <f t="shared" si="18"/>
        <v>0</v>
      </c>
      <c r="Q43" s="203">
        <f t="shared" si="19"/>
        <v>0</v>
      </c>
    </row>
    <row r="44" spans="2:17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3">
        <f t="shared" si="18"/>
        <v>0</v>
      </c>
      <c r="Q44" s="203">
        <f t="shared" si="19"/>
        <v>0</v>
      </c>
    </row>
    <row r="45" spans="2:17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3">
        <f t="shared" si="18"/>
        <v>0</v>
      </c>
      <c r="Q45" s="203">
        <f t="shared" si="19"/>
        <v>0</v>
      </c>
    </row>
    <row r="46" spans="2:17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3">
        <f t="shared" si="18"/>
        <v>0</v>
      </c>
      <c r="Q46" s="203">
        <f t="shared" si="19"/>
        <v>0</v>
      </c>
    </row>
    <row r="47" spans="2:17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130357.14285714288</v>
      </c>
      <c r="L47" s="129" t="s">
        <v>106</v>
      </c>
      <c r="N47" s="15">
        <v>0.5</v>
      </c>
      <c r="O47" s="211">
        <v>0</v>
      </c>
      <c r="P47" s="23">
        <f t="shared" si="18"/>
        <v>0</v>
      </c>
      <c r="Q47" s="203">
        <f t="shared" si="19"/>
        <v>0</v>
      </c>
    </row>
    <row r="48" spans="2:17" ht="15" customHeight="1" thickBot="1" x14ac:dyDescent="0.3">
      <c r="B48" s="166" t="s">
        <v>89</v>
      </c>
      <c r="C48" s="167" t="s">
        <v>111</v>
      </c>
      <c r="D48" s="280">
        <f>'Rate Summary TOU-M and EV-HP'!$E$8*$D$13</f>
        <v>507.8</v>
      </c>
      <c r="E48" s="280">
        <f>'Rate Summary TOU-M and EV-HP'!$E$8*$D$14</f>
        <v>203.12</v>
      </c>
      <c r="F48" s="280">
        <f>'Rate Summary TOU-M and EV-HP'!$E$8*$D$15</f>
        <v>507.8</v>
      </c>
      <c r="G48" s="281">
        <f>SUM(D48:F48)</f>
        <v>1218.72</v>
      </c>
      <c r="N48" s="15">
        <v>0.54166666666666696</v>
      </c>
      <c r="O48" s="211">
        <v>0</v>
      </c>
      <c r="P48" s="23">
        <f t="shared" si="18"/>
        <v>0</v>
      </c>
      <c r="Q48" s="203">
        <f t="shared" si="19"/>
        <v>0</v>
      </c>
    </row>
    <row r="49" spans="2:73" ht="15" customHeight="1" thickBot="1" x14ac:dyDescent="0.3">
      <c r="B49" s="166" t="s">
        <v>27</v>
      </c>
      <c r="C49" s="167" t="s">
        <v>111</v>
      </c>
      <c r="D49" s="281" t="s">
        <v>92</v>
      </c>
      <c r="E49" s="281" t="s">
        <v>92</v>
      </c>
      <c r="F49" s="281" t="s">
        <v>92</v>
      </c>
      <c r="G49" s="281">
        <f>SUM(D48:F48)</f>
        <v>1218.72</v>
      </c>
      <c r="J49" s="163" t="s">
        <v>112</v>
      </c>
      <c r="K49" s="162">
        <f>SUM(K35:K47)</f>
        <v>312857.1428571429</v>
      </c>
      <c r="L49" s="161" t="s">
        <v>106</v>
      </c>
      <c r="N49" s="15">
        <v>0.58333333333333304</v>
      </c>
      <c r="O49" s="211">
        <v>0</v>
      </c>
      <c r="P49" s="23">
        <f t="shared" si="18"/>
        <v>0</v>
      </c>
      <c r="Q49" s="203">
        <f t="shared" si="19"/>
        <v>0</v>
      </c>
    </row>
    <row r="50" spans="2:73" ht="15" customHeight="1" thickBot="1" x14ac:dyDescent="0.3">
      <c r="B50" s="166"/>
      <c r="C50" s="167"/>
      <c r="D50" s="281"/>
      <c r="E50" s="281"/>
      <c r="F50" s="281"/>
      <c r="G50" s="281"/>
      <c r="M50" s="159"/>
      <c r="N50" s="15">
        <v>0.625</v>
      </c>
      <c r="O50" s="211">
        <v>0</v>
      </c>
      <c r="P50" s="23">
        <f t="shared" si="18"/>
        <v>0</v>
      </c>
      <c r="Q50" s="203">
        <f t="shared" si="19"/>
        <v>0</v>
      </c>
    </row>
    <row r="51" spans="2:73" ht="15" customHeight="1" thickBot="1" x14ac:dyDescent="0.3">
      <c r="B51" s="169"/>
      <c r="C51" s="167"/>
      <c r="D51" s="281"/>
      <c r="E51" s="281"/>
      <c r="F51" s="281"/>
      <c r="G51" s="281"/>
      <c r="J51" s="246" t="s">
        <v>113</v>
      </c>
      <c r="K51" s="153"/>
      <c r="L51" s="120"/>
      <c r="N51" s="15">
        <v>0.66666666666666696</v>
      </c>
      <c r="O51" s="211">
        <v>0</v>
      </c>
      <c r="P51" s="23">
        <f t="shared" si="18"/>
        <v>0</v>
      </c>
      <c r="Q51" s="203">
        <f t="shared" si="19"/>
        <v>0</v>
      </c>
    </row>
    <row r="52" spans="2:73" ht="15" customHeight="1" x14ac:dyDescent="0.25">
      <c r="B52" s="169" t="s">
        <v>114</v>
      </c>
      <c r="C52" s="167" t="s">
        <v>111</v>
      </c>
      <c r="D52" s="281" t="s">
        <v>92</v>
      </c>
      <c r="E52" s="281" t="s">
        <v>92</v>
      </c>
      <c r="F52" s="281" t="s">
        <v>92</v>
      </c>
      <c r="G52" s="281" t="s">
        <v>92</v>
      </c>
      <c r="J52" s="145" t="s">
        <v>115</v>
      </c>
      <c r="K52" s="245">
        <f>D20*(D12/D21)</f>
        <v>10207.833333333334</v>
      </c>
      <c r="L52" s="128" t="s">
        <v>116</v>
      </c>
      <c r="M52" s="159"/>
      <c r="N52" s="15">
        <v>0.70833333333333304</v>
      </c>
      <c r="O52" s="211">
        <v>0</v>
      </c>
      <c r="P52" s="23">
        <f t="shared" si="18"/>
        <v>0</v>
      </c>
      <c r="Q52" s="203">
        <f t="shared" si="19"/>
        <v>0</v>
      </c>
    </row>
    <row r="53" spans="2:73" ht="15" customHeight="1" thickBot="1" x14ac:dyDescent="0.3">
      <c r="B53" s="169"/>
      <c r="C53" s="167"/>
      <c r="D53" s="281"/>
      <c r="E53" s="281"/>
      <c r="F53" s="281"/>
      <c r="G53" s="281"/>
      <c r="J53" s="146" t="s">
        <v>117</v>
      </c>
      <c r="K53" s="252">
        <f>K52/D12</f>
        <v>0.48941666666666667</v>
      </c>
      <c r="L53" s="238" t="s">
        <v>116</v>
      </c>
      <c r="N53" s="15">
        <v>0.75</v>
      </c>
      <c r="O53" s="211">
        <v>0</v>
      </c>
      <c r="P53" s="23">
        <f t="shared" si="18"/>
        <v>0</v>
      </c>
      <c r="Q53" s="203">
        <f t="shared" si="19"/>
        <v>0</v>
      </c>
    </row>
    <row r="54" spans="2:73" ht="15" customHeight="1" x14ac:dyDescent="0.25">
      <c r="B54" s="169" t="s">
        <v>118</v>
      </c>
      <c r="C54" s="167"/>
      <c r="D54" s="281"/>
      <c r="E54" s="281"/>
      <c r="F54" s="281"/>
      <c r="G54" s="281"/>
      <c r="N54" s="15">
        <v>0.79166666666666696</v>
      </c>
      <c r="O54" s="211">
        <v>0</v>
      </c>
      <c r="P54" s="23">
        <f t="shared" si="18"/>
        <v>0</v>
      </c>
      <c r="Q54" s="203">
        <f t="shared" si="19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EV-HP'!$E12*$D$13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>SUM(D55:F55)</f>
        <v>0</v>
      </c>
      <c r="N55" s="15">
        <v>0.83333333333333304</v>
      </c>
      <c r="O55" s="211">
        <v>0</v>
      </c>
      <c r="P55" s="23">
        <f t="shared" si="18"/>
        <v>0</v>
      </c>
      <c r="Q55" s="203">
        <f t="shared" si="19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4440.0000000000009</v>
      </c>
      <c r="E56" s="280">
        <f>E34*'Rate Summary TOU-M and EV-HP'!$E14*$D$14</f>
        <v>1776.0000000000002</v>
      </c>
      <c r="F56" s="280">
        <f>F34*'Rate Summary TOU-M and EV-HP'!$E14*$D$15</f>
        <v>4440.0000000000009</v>
      </c>
      <c r="G56" s="281">
        <f t="shared" ref="G56" si="20">SUM(D56:F56)</f>
        <v>10656.000000000002</v>
      </c>
      <c r="N56" s="15">
        <v>0.875</v>
      </c>
      <c r="O56" s="211">
        <v>0</v>
      </c>
      <c r="P56" s="23">
        <f t="shared" si="18"/>
        <v>0</v>
      </c>
      <c r="Q56" s="203">
        <f t="shared" si="19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3">
        <f t="shared" si="18"/>
        <v>0</v>
      </c>
      <c r="Q57" s="203">
        <f t="shared" si="19"/>
        <v>0</v>
      </c>
      <c r="BS57" s="1"/>
      <c r="BT57" s="109"/>
      <c r="BU57" s="156"/>
    </row>
    <row r="58" spans="2:73" x14ac:dyDescent="0.25">
      <c r="B58" s="166"/>
      <c r="C58" s="166"/>
      <c r="D58" s="280"/>
      <c r="E58" s="280"/>
      <c r="F58" s="280"/>
      <c r="G58" s="280"/>
      <c r="J58" s="156"/>
      <c r="N58" s="15">
        <v>0.95833333333333304</v>
      </c>
      <c r="O58" s="211">
        <v>0</v>
      </c>
      <c r="P58" s="23">
        <f t="shared" si="18"/>
        <v>0</v>
      </c>
      <c r="Q58" s="203">
        <f t="shared" si="19"/>
        <v>0</v>
      </c>
      <c r="BS58" s="1"/>
      <c r="BT58" s="109"/>
      <c r="BU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0"/>
      <c r="N59" s="183"/>
      <c r="O59" s="358">
        <f>SUM(O35:O58)</f>
        <v>3</v>
      </c>
      <c r="P59" s="6">
        <f>SUM(P35:P58)</f>
        <v>1</v>
      </c>
      <c r="Q59" s="204">
        <f>SUM(Q35:Q58)</f>
        <v>1200</v>
      </c>
      <c r="BS59" s="1"/>
      <c r="BT59" s="109"/>
      <c r="BU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>SUM(D60:F60)</f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 t="shared" ref="G61:G62" si="21">SUM(D61:F61)</f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22816.410714285721</v>
      </c>
      <c r="E62" s="280">
        <f>K42*'Rate Summary TOU-M and EV-HP'!$E26</f>
        <v>9188.0928571428594</v>
      </c>
      <c r="F62" s="280">
        <f>K47*'Rate Summary TOU-M and EV-HP'!$E26</f>
        <v>22970.232142857149</v>
      </c>
      <c r="G62" s="281">
        <f t="shared" si="21"/>
        <v>54974.735714285729</v>
      </c>
      <c r="J62" s="397" t="s">
        <v>139</v>
      </c>
      <c r="Q62" s="210"/>
      <c r="BS62" s="1"/>
      <c r="BT62" s="109"/>
      <c r="BU62" s="156"/>
    </row>
    <row r="63" spans="2:73" x14ac:dyDescent="0.25">
      <c r="B63" s="166"/>
      <c r="C63" s="166"/>
      <c r="D63" s="292"/>
      <c r="E63" s="292"/>
      <c r="F63" s="292"/>
      <c r="G63" s="292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>SUM(D64:F64)</f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>SUM(D65:F65)</f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152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67">
        <f>SUM(D48:D65)</f>
        <v>27764.21071428572</v>
      </c>
      <c r="E67" s="287">
        <f>SUM(E48:E65)</f>
        <v>11167.21285714286</v>
      </c>
      <c r="F67" s="267">
        <f>SUM(F48:F65)</f>
        <v>27918.032142857148</v>
      </c>
      <c r="G67" s="277">
        <f>SUM(G48:G65)</f>
        <v>68068.175714285724</v>
      </c>
      <c r="J67" s="230" t="s">
        <v>126</v>
      </c>
      <c r="BS67" s="1"/>
      <c r="BT67" s="109"/>
      <c r="BU67" s="156"/>
    </row>
    <row r="68" spans="2:73" x14ac:dyDescent="0.25">
      <c r="B68" s="189" t="s">
        <v>127</v>
      </c>
      <c r="C68" s="190"/>
      <c r="D68" s="191">
        <f>D67/5</f>
        <v>5552.8421428571437</v>
      </c>
      <c r="E68" s="271">
        <f>E67/2</f>
        <v>5583.6064285714301</v>
      </c>
      <c r="F68" s="191">
        <f>F67/5</f>
        <v>5583.6064285714292</v>
      </c>
      <c r="G68" s="272">
        <f>G67/12</f>
        <v>5672.3479761904773</v>
      </c>
      <c r="J68" s="10" t="s">
        <v>153</v>
      </c>
    </row>
    <row r="69" spans="2:73" x14ac:dyDescent="0.25">
      <c r="B69" s="273" t="s">
        <v>9</v>
      </c>
      <c r="C69" s="268"/>
      <c r="D69" s="172">
        <f>D67/(D38+D39+D40)</f>
        <v>0.21298572602739727</v>
      </c>
      <c r="E69" s="269">
        <f t="shared" ref="E69:F69" si="22">E67/(E38+E39+E40)</f>
        <v>0.21416572602739728</v>
      </c>
      <c r="F69" s="172">
        <f t="shared" si="22"/>
        <v>0.21416572602739725</v>
      </c>
      <c r="G69" s="274">
        <f>G67/(G38+G39+G40)</f>
        <v>0.21756951141552511</v>
      </c>
    </row>
    <row r="70" spans="2:73" ht="15.75" thickBot="1" x14ac:dyDescent="0.3">
      <c r="B70" s="275" t="s">
        <v>129</v>
      </c>
      <c r="C70" s="276"/>
      <c r="D70" s="278">
        <f>D69*$D$11</f>
        <v>0.26623215753424656</v>
      </c>
      <c r="E70" s="278">
        <f t="shared" ref="E70:G70" si="23">E69*$D$11</f>
        <v>0.26770715753424662</v>
      </c>
      <c r="F70" s="278">
        <f t="shared" si="23"/>
        <v>0.26770715753424656</v>
      </c>
      <c r="G70" s="278">
        <f t="shared" si="23"/>
        <v>0.2719618892694064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88</v>
      </c>
      <c r="C73" s="106" t="s">
        <v>20</v>
      </c>
      <c r="D73" s="105" t="s">
        <v>3</v>
      </c>
      <c r="E73" s="107" t="s">
        <v>4</v>
      </c>
      <c r="F73" s="365" t="s">
        <v>5</v>
      </c>
      <c r="G73" s="105" t="s">
        <v>6</v>
      </c>
    </row>
    <row r="74" spans="2:73" x14ac:dyDescent="0.25">
      <c r="B74" s="314"/>
      <c r="C74" s="315"/>
      <c r="D74" s="314"/>
      <c r="E74" s="316"/>
      <c r="F74" s="328"/>
      <c r="G74" s="314"/>
      <c r="AV74" s="156"/>
      <c r="AW74" s="156"/>
      <c r="AX74" s="156"/>
      <c r="AY74" s="156"/>
    </row>
    <row r="75" spans="2:73" x14ac:dyDescent="0.25">
      <c r="B75" s="149" t="s">
        <v>89</v>
      </c>
      <c r="C75" s="96" t="s">
        <v>111</v>
      </c>
      <c r="D75" s="322">
        <f>'Rate Summary TOU-M and EV-HP'!$I$7*$D$13</f>
        <v>931.52</v>
      </c>
      <c r="E75" s="322">
        <f>'Rate Summary TOU-M and EV-HP'!$I$7*$D$14</f>
        <v>372.608</v>
      </c>
      <c r="F75" s="329">
        <f>'Rate Summary TOU-M and EV-HP'!$I$7*$D$15</f>
        <v>931.52</v>
      </c>
      <c r="G75" s="331">
        <f>SUM(D75:F75)</f>
        <v>2235.6480000000001</v>
      </c>
    </row>
    <row r="76" spans="2:73" x14ac:dyDescent="0.25">
      <c r="B76" s="149" t="s">
        <v>27</v>
      </c>
      <c r="C76" s="96" t="s">
        <v>111</v>
      </c>
      <c r="D76" s="318" t="s">
        <v>92</v>
      </c>
      <c r="E76" s="319" t="s">
        <v>92</v>
      </c>
      <c r="F76" s="330" t="s">
        <v>92</v>
      </c>
      <c r="G76" s="332" t="s">
        <v>92</v>
      </c>
    </row>
    <row r="77" spans="2:73" x14ac:dyDescent="0.25">
      <c r="B77" s="150"/>
      <c r="C77" s="96"/>
      <c r="D77" s="178"/>
      <c r="E77" s="178"/>
      <c r="F77" s="323"/>
      <c r="G77" s="283"/>
    </row>
    <row r="78" spans="2:73" x14ac:dyDescent="0.25">
      <c r="B78" s="150" t="s">
        <v>130</v>
      </c>
      <c r="C78" s="96" t="s">
        <v>111</v>
      </c>
      <c r="D78" s="282">
        <f>(D29*'Rate Summary TOU-M and EV-HP'!$I$10+D30*'Rate Summary TOU-M and EV-HP'!$I$11)*$D$13</f>
        <v>17670.75</v>
      </c>
      <c r="E78" s="282">
        <f>(E29*'Rate Summary TOU-M and EV-HP'!$I$10+E30*'Rate Summary TOU-M and EV-HP'!$I$11)*$D$14</f>
        <v>7068.2999999999993</v>
      </c>
      <c r="F78" s="324">
        <f>(F29*'Rate Summary TOU-M and EV-HP'!$I$10+F30*'Rate Summary TOU-M and EV-HP'!$I$11)*$D$15</f>
        <v>17670.75</v>
      </c>
      <c r="G78" s="283">
        <f>SUM(D78:F78)</f>
        <v>42409.8</v>
      </c>
    </row>
    <row r="79" spans="2:73" x14ac:dyDescent="0.25">
      <c r="B79" s="150"/>
      <c r="C79" s="96"/>
      <c r="D79" s="283"/>
      <c r="E79" s="283"/>
      <c r="F79" s="325"/>
      <c r="G79" s="283"/>
    </row>
    <row r="80" spans="2:73" x14ac:dyDescent="0.25">
      <c r="B80" s="150" t="s">
        <v>118</v>
      </c>
      <c r="C80" s="96"/>
      <c r="D80" s="283"/>
      <c r="E80" s="283"/>
      <c r="F80" s="325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324" t="s">
        <v>92</v>
      </c>
      <c r="G81" s="332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324" t="s">
        <v>92</v>
      </c>
      <c r="G82" s="332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324" t="s">
        <v>92</v>
      </c>
      <c r="G83" s="332" t="s">
        <v>92</v>
      </c>
    </row>
    <row r="84" spans="2:56" x14ac:dyDescent="0.25">
      <c r="B84" s="149"/>
      <c r="C84" s="149"/>
      <c r="D84" s="282"/>
      <c r="E84" s="282"/>
      <c r="F84" s="324"/>
      <c r="G84" s="282"/>
    </row>
    <row r="85" spans="2:56" x14ac:dyDescent="0.25">
      <c r="B85" s="100" t="s">
        <v>119</v>
      </c>
      <c r="C85" s="100"/>
      <c r="D85" s="282"/>
      <c r="E85" s="282"/>
      <c r="F85" s="324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324">
        <f>F38*'Rate Summary TOU-M and EV-HP'!$I21</f>
        <v>0</v>
      </c>
      <c r="G86" s="283">
        <f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324">
        <f>F39*'Rate Summary TOU-M and EV-HP'!$I22</f>
        <v>0</v>
      </c>
      <c r="G87" s="283">
        <f t="shared" ref="G87:G91" si="24"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14367.964285714288</v>
      </c>
      <c r="E88" s="282">
        <f>E40*'Rate Summary TOU-M and EV-HP'!$I23</f>
        <v>5808.7142857142871</v>
      </c>
      <c r="F88" s="324">
        <f>F40*'Rate Summary TOU-M and EV-HP'!$I23</f>
        <v>14521.785714285717</v>
      </c>
      <c r="G88" s="283">
        <f t="shared" si="24"/>
        <v>34698.46428571429</v>
      </c>
    </row>
    <row r="89" spans="2:56" x14ac:dyDescent="0.25">
      <c r="B89" s="149"/>
      <c r="C89" s="149"/>
      <c r="D89" s="293"/>
      <c r="E89" s="293"/>
      <c r="F89" s="326"/>
      <c r="G89" s="283"/>
    </row>
    <row r="90" spans="2:56" x14ac:dyDescent="0.25">
      <c r="B90" s="100" t="s">
        <v>108</v>
      </c>
      <c r="C90" s="96" t="s">
        <v>111</v>
      </c>
      <c r="D90" s="282">
        <v>0</v>
      </c>
      <c r="E90" s="282">
        <v>0</v>
      </c>
      <c r="F90" s="324">
        <v>0</v>
      </c>
      <c r="G90" s="283">
        <f t="shared" si="24"/>
        <v>0</v>
      </c>
    </row>
    <row r="91" spans="2:56" ht="15.75" thickBot="1" x14ac:dyDescent="0.3">
      <c r="B91" s="102" t="s">
        <v>44</v>
      </c>
      <c r="C91" s="180" t="s">
        <v>111</v>
      </c>
      <c r="D91" s="294">
        <v>0</v>
      </c>
      <c r="E91" s="294">
        <v>0</v>
      </c>
      <c r="F91" s="327">
        <v>0</v>
      </c>
      <c r="G91" s="295">
        <f t="shared" si="24"/>
        <v>0</v>
      </c>
    </row>
    <row r="92" spans="2:56" ht="15.75" thickBot="1" x14ac:dyDescent="0.3">
      <c r="B92" s="127"/>
      <c r="C92" s="127"/>
      <c r="D92" s="127"/>
      <c r="E92" s="127"/>
      <c r="F92" s="127"/>
      <c r="G92" s="127"/>
    </row>
    <row r="93" spans="2:56" ht="15.75" thickBot="1" x14ac:dyDescent="0.3">
      <c r="B93" s="177" t="s">
        <v>7</v>
      </c>
      <c r="C93" s="176"/>
      <c r="D93" s="366">
        <f>SUM(D75:D91)</f>
        <v>32970.234285714287</v>
      </c>
      <c r="E93" s="366">
        <f t="shared" ref="E93:F93" si="25">SUM(E75:E91)</f>
        <v>13249.622285714286</v>
      </c>
      <c r="F93" s="366">
        <f t="shared" si="25"/>
        <v>33124.055714285714</v>
      </c>
      <c r="G93" s="366">
        <f>SUM(G75:G91)</f>
        <v>79343.912285714294</v>
      </c>
    </row>
    <row r="94" spans="2:56" x14ac:dyDescent="0.25">
      <c r="B94" s="189" t="s">
        <v>8</v>
      </c>
      <c r="C94" s="190"/>
      <c r="D94" s="279">
        <f>D93/5</f>
        <v>6594.0468571428573</v>
      </c>
      <c r="E94" s="290">
        <f>E93/2</f>
        <v>6624.8111428571428</v>
      </c>
      <c r="F94" s="279">
        <f>F93/5</f>
        <v>6624.8111428571428</v>
      </c>
      <c r="G94" s="291">
        <f>G93/12</f>
        <v>6611.9926904761915</v>
      </c>
    </row>
    <row r="95" spans="2:56" x14ac:dyDescent="0.25">
      <c r="B95" s="273" t="s">
        <v>9</v>
      </c>
      <c r="C95" s="268"/>
      <c r="D95" s="172">
        <f>D93/(D38+D39+D40)</f>
        <v>0.2529223452054794</v>
      </c>
      <c r="E95" s="269">
        <f>E93/(E38+E39+E40)</f>
        <v>0.25410234520547942</v>
      </c>
      <c r="F95" s="172">
        <f>F93/(F38+F39+F40)</f>
        <v>0.25410234520547942</v>
      </c>
      <c r="G95" s="274">
        <f>G93/(G38+G39+G40)</f>
        <v>0.25361067853881275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0.31615293150684926</v>
      </c>
      <c r="E96" s="285">
        <f t="shared" ref="E96:G96" si="26">E95*$D$11</f>
        <v>0.31762793150684926</v>
      </c>
      <c r="F96" s="285">
        <f t="shared" si="26"/>
        <v>0.31762793150684926</v>
      </c>
      <c r="G96" s="285">
        <f t="shared" si="26"/>
        <v>0.31701334817351595</v>
      </c>
    </row>
    <row r="97" spans="2:45" ht="15.75" thickBot="1" x14ac:dyDescent="0.3">
      <c r="B97" s="157" t="s">
        <v>131</v>
      </c>
      <c r="C97" s="158"/>
      <c r="D97" s="286">
        <f>(D69-D95)/D69</f>
        <v>-0.18750843036751166</v>
      </c>
      <c r="E97" s="195">
        <f>(E69-E95)/E69</f>
        <v>-0.18647530545094421</v>
      </c>
      <c r="F97" s="286">
        <f>(F69-F95)/F69</f>
        <v>-0.18647530545094435</v>
      </c>
      <c r="G97" s="196">
        <f>(G69-G95)/G69</f>
        <v>-0.16565357383394783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f>$D$16</f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149" t="s">
        <v>89</v>
      </c>
      <c r="C102" s="96" t="s">
        <v>111</v>
      </c>
      <c r="D102" s="322">
        <f>D75</f>
        <v>931.52</v>
      </c>
      <c r="E102" s="322">
        <f t="shared" ref="E102:F102" si="27">E75</f>
        <v>372.608</v>
      </c>
      <c r="F102" s="322">
        <f t="shared" si="27"/>
        <v>931.52</v>
      </c>
      <c r="G102" s="283">
        <f>SUM(D102:F102)</f>
        <v>2235.6480000000001</v>
      </c>
      <c r="O102" s="197"/>
      <c r="P102" s="197"/>
      <c r="Q102" s="207"/>
      <c r="AS102" s="108"/>
    </row>
    <row r="103" spans="2:45" x14ac:dyDescent="0.25">
      <c r="B103" s="149" t="s">
        <v>27</v>
      </c>
      <c r="C103" s="96" t="s">
        <v>111</v>
      </c>
      <c r="D103" s="318" t="s">
        <v>92</v>
      </c>
      <c r="E103" s="319" t="s">
        <v>92</v>
      </c>
      <c r="F103" s="319" t="s">
        <v>92</v>
      </c>
      <c r="G103" s="283" t="s">
        <v>92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283"/>
    </row>
    <row r="105" spans="2:45" x14ac:dyDescent="0.25">
      <c r="B105" s="150" t="s">
        <v>130</v>
      </c>
      <c r="C105" s="96" t="s">
        <v>111</v>
      </c>
      <c r="D105" s="282">
        <f>D78*(1-$D$99)</f>
        <v>8835.375</v>
      </c>
      <c r="E105" s="282">
        <f>E78*(1-$D$99)</f>
        <v>3534.1499999999996</v>
      </c>
      <c r="F105" s="282">
        <f>F78*(1-$D$99)</f>
        <v>8835.375</v>
      </c>
      <c r="G105" s="283">
        <f t="shared" ref="G105:G118" si="28">SUM(D105:F105)</f>
        <v>21204.9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F110" si="29">D81</f>
        <v>NA</v>
      </c>
      <c r="E108" s="282" t="str">
        <f t="shared" si="29"/>
        <v>NA</v>
      </c>
      <c r="F108" s="282" t="str">
        <f t="shared" si="29"/>
        <v>NA</v>
      </c>
      <c r="G108" s="282" t="str">
        <f t="shared" ref="G108" si="30">G81</f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29"/>
        <v>NA</v>
      </c>
      <c r="E109" s="282" t="str">
        <f t="shared" si="29"/>
        <v>NA</v>
      </c>
      <c r="F109" s="282" t="str">
        <f t="shared" si="29"/>
        <v>NA</v>
      </c>
      <c r="G109" s="282" t="str">
        <f t="shared" ref="G109" si="31">G82</f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29"/>
        <v>NA</v>
      </c>
      <c r="E110" s="282" t="str">
        <f t="shared" si="29"/>
        <v>NA</v>
      </c>
      <c r="F110" s="282" t="str">
        <f t="shared" si="29"/>
        <v>NA</v>
      </c>
      <c r="G110" s="282" t="str">
        <f t="shared" ref="G110" si="32">G83</f>
        <v>NA</v>
      </c>
    </row>
    <row r="111" spans="2:45" x14ac:dyDescent="0.25">
      <c r="B111" s="149"/>
      <c r="C111" s="149"/>
      <c r="D111" s="282"/>
      <c r="E111" s="282"/>
      <c r="F111" s="282"/>
      <c r="G111" s="283"/>
    </row>
    <row r="112" spans="2:45" x14ac:dyDescent="0.25">
      <c r="B112" s="100" t="s">
        <v>119</v>
      </c>
      <c r="C112" s="100"/>
      <c r="D112" s="282"/>
      <c r="E112" s="282"/>
      <c r="F112" s="282"/>
      <c r="G112" s="283"/>
    </row>
    <row r="113" spans="2:14" x14ac:dyDescent="0.25">
      <c r="B113" s="100" t="s">
        <v>45</v>
      </c>
      <c r="C113" s="96" t="s">
        <v>111</v>
      </c>
      <c r="D113" s="282">
        <f t="shared" ref="D113:F115" si="33">D86</f>
        <v>0</v>
      </c>
      <c r="E113" s="282">
        <f t="shared" si="33"/>
        <v>0</v>
      </c>
      <c r="F113" s="282">
        <f t="shared" si="33"/>
        <v>0</v>
      </c>
      <c r="G113" s="283">
        <f t="shared" si="28"/>
        <v>0</v>
      </c>
    </row>
    <row r="114" spans="2:14" x14ac:dyDescent="0.25">
      <c r="B114" s="100" t="s">
        <v>46</v>
      </c>
      <c r="C114" s="96" t="s">
        <v>111</v>
      </c>
      <c r="D114" s="282">
        <f t="shared" si="33"/>
        <v>0</v>
      </c>
      <c r="E114" s="282">
        <f t="shared" si="33"/>
        <v>0</v>
      </c>
      <c r="F114" s="282">
        <f t="shared" si="33"/>
        <v>0</v>
      </c>
      <c r="G114" s="283">
        <f t="shared" si="28"/>
        <v>0</v>
      </c>
    </row>
    <row r="115" spans="2:14" x14ac:dyDescent="0.25">
      <c r="B115" s="100" t="s">
        <v>48</v>
      </c>
      <c r="C115" s="96" t="s">
        <v>111</v>
      </c>
      <c r="D115" s="282">
        <f t="shared" si="33"/>
        <v>14367.964285714288</v>
      </c>
      <c r="E115" s="282">
        <f t="shared" si="33"/>
        <v>5808.7142857142871</v>
      </c>
      <c r="F115" s="282">
        <f t="shared" si="33"/>
        <v>14521.785714285717</v>
      </c>
      <c r="G115" s="283">
        <f t="shared" si="28"/>
        <v>34698.46428571429</v>
      </c>
      <c r="J115" s="10" t="s">
        <v>133</v>
      </c>
    </row>
    <row r="116" spans="2:14" x14ac:dyDescent="0.25">
      <c r="B116" s="149"/>
      <c r="C116" s="149"/>
      <c r="D116" s="293"/>
      <c r="E116" s="293"/>
      <c r="F116" s="293"/>
      <c r="G116" s="283"/>
      <c r="K116" s="385" t="s">
        <v>134</v>
      </c>
      <c r="L116" s="385" t="s">
        <v>135</v>
      </c>
      <c r="M116" s="385" t="s">
        <v>136</v>
      </c>
      <c r="N116" s="385" t="s">
        <v>137</v>
      </c>
    </row>
    <row r="117" spans="2:14" x14ac:dyDescent="0.25">
      <c r="B117" s="100" t="s">
        <v>108</v>
      </c>
      <c r="C117" s="96" t="s">
        <v>111</v>
      </c>
      <c r="D117" s="282">
        <f t="shared" ref="D117:F118" si="34">D90</f>
        <v>0</v>
      </c>
      <c r="E117" s="282">
        <f t="shared" si="34"/>
        <v>0</v>
      </c>
      <c r="F117" s="282">
        <f t="shared" si="34"/>
        <v>0</v>
      </c>
      <c r="G117" s="283">
        <f t="shared" si="28"/>
        <v>0</v>
      </c>
      <c r="J117" s="10" t="s">
        <v>23</v>
      </c>
      <c r="K117" s="386">
        <f>D48/5</f>
        <v>101.56</v>
      </c>
      <c r="L117" s="386">
        <f>D75/5</f>
        <v>186.304</v>
      </c>
      <c r="M117" s="386">
        <f>L117</f>
        <v>186.304</v>
      </c>
      <c r="N117" s="386">
        <v>0</v>
      </c>
    </row>
    <row r="118" spans="2:14" ht="15.75" thickBot="1" x14ac:dyDescent="0.3">
      <c r="B118" s="102" t="s">
        <v>44</v>
      </c>
      <c r="C118" s="180" t="s">
        <v>111</v>
      </c>
      <c r="D118" s="294">
        <f t="shared" si="34"/>
        <v>0</v>
      </c>
      <c r="E118" s="294">
        <f t="shared" si="34"/>
        <v>0</v>
      </c>
      <c r="F118" s="294">
        <f t="shared" si="34"/>
        <v>0</v>
      </c>
      <c r="G118" s="295">
        <f t="shared" si="28"/>
        <v>0</v>
      </c>
      <c r="J118" s="10" t="s">
        <v>32</v>
      </c>
      <c r="K118" s="386">
        <f>(D55+D56)/5</f>
        <v>888.00000000000023</v>
      </c>
      <c r="L118" s="386">
        <v>0</v>
      </c>
      <c r="M118" s="386">
        <f t="shared" ref="M118:M120" si="35">L118</f>
        <v>0</v>
      </c>
      <c r="N118" s="386">
        <v>0</v>
      </c>
    </row>
    <row r="119" spans="2:14" ht="15.75" thickBot="1" x14ac:dyDescent="0.3">
      <c r="J119" s="10" t="s">
        <v>132</v>
      </c>
      <c r="K119" s="386">
        <v>0</v>
      </c>
      <c r="L119" s="386">
        <f>(D78)/5</f>
        <v>3534.15</v>
      </c>
      <c r="M119" s="386">
        <f>L119*D16</f>
        <v>1767.075</v>
      </c>
      <c r="N119" s="386">
        <v>0</v>
      </c>
    </row>
    <row r="120" spans="2:14" ht="15.75" thickBot="1" x14ac:dyDescent="0.3">
      <c r="B120" s="266" t="s">
        <v>7</v>
      </c>
      <c r="C120" s="190"/>
      <c r="D120" s="279">
        <f>SUM(D102:D118)</f>
        <v>24134.859285714287</v>
      </c>
      <c r="E120" s="279">
        <f t="shared" ref="E120:F120" si="36">SUM(E102:E118)</f>
        <v>9715.4722857142879</v>
      </c>
      <c r="F120" s="279">
        <f t="shared" si="36"/>
        <v>24288.680714285718</v>
      </c>
      <c r="G120" s="279">
        <f>SUM(G102:G118)</f>
        <v>58139.012285714292</v>
      </c>
      <c r="J120" s="10" t="s">
        <v>138</v>
      </c>
      <c r="K120" s="386">
        <f>(D60+D61+D62)/5</f>
        <v>4563.2821428571442</v>
      </c>
      <c r="L120" s="386">
        <f>(D86+D87+D88)/5</f>
        <v>2873.5928571428576</v>
      </c>
      <c r="M120" s="386">
        <f t="shared" si="35"/>
        <v>2873.5928571428576</v>
      </c>
      <c r="N120" s="386">
        <v>0</v>
      </c>
    </row>
    <row r="121" spans="2:14" x14ac:dyDescent="0.25">
      <c r="B121" s="189" t="s">
        <v>8</v>
      </c>
      <c r="C121" s="190"/>
      <c r="D121" s="279">
        <f>D120/5</f>
        <v>4826.9718571428575</v>
      </c>
      <c r="E121" s="290">
        <f>E120/2</f>
        <v>4857.7361428571439</v>
      </c>
      <c r="F121" s="279">
        <f>F120/5</f>
        <v>4857.7361428571439</v>
      </c>
      <c r="G121" s="291">
        <f>G120/12</f>
        <v>4844.9176904761907</v>
      </c>
      <c r="J121" s="381" t="s">
        <v>137</v>
      </c>
      <c r="K121" s="387">
        <v>0</v>
      </c>
      <c r="L121" s="387">
        <v>0</v>
      </c>
      <c r="M121" s="387">
        <v>0</v>
      </c>
      <c r="N121" s="387">
        <f>K52</f>
        <v>10207.833333333334</v>
      </c>
    </row>
    <row r="122" spans="2:14" x14ac:dyDescent="0.25">
      <c r="B122" s="273" t="s">
        <v>9</v>
      </c>
      <c r="C122" s="268"/>
      <c r="D122" s="172">
        <f>D120/(D38+D39+D40)</f>
        <v>0.18514412602739722</v>
      </c>
      <c r="E122" s="269">
        <f>E120/(E38+E39+E40)</f>
        <v>0.18632412602739726</v>
      </c>
      <c r="F122" s="172">
        <f>F120/(F38+F39+F40)</f>
        <v>0.18632412602739726</v>
      </c>
      <c r="G122" s="274">
        <f>G120/(G38+G39+G40)</f>
        <v>0.18583245936073059</v>
      </c>
      <c r="J122" s="151" t="s">
        <v>7</v>
      </c>
      <c r="K122" s="380">
        <f>SUM(K117:K121)</f>
        <v>5552.8421428571446</v>
      </c>
      <c r="L122" s="380">
        <f>SUM(L117:L121)</f>
        <v>6594.0468571428573</v>
      </c>
      <c r="M122" s="380">
        <f>SUM(M117:M121)</f>
        <v>4826.9718571428575</v>
      </c>
      <c r="N122" s="380">
        <f>SUM(N117:N121)</f>
        <v>10207.833333333334</v>
      </c>
    </row>
    <row r="123" spans="2:14" x14ac:dyDescent="0.25">
      <c r="B123" s="284" t="s">
        <v>129</v>
      </c>
      <c r="C123" s="270"/>
      <c r="D123" s="285">
        <f>D122*$D$11</f>
        <v>0.23143015753424651</v>
      </c>
      <c r="E123" s="285">
        <f t="shared" ref="E123:G123" si="37">E122*$D$11</f>
        <v>0.23290515753424657</v>
      </c>
      <c r="F123" s="285">
        <f t="shared" si="37"/>
        <v>0.23290515753424657</v>
      </c>
      <c r="G123" s="285">
        <f t="shared" si="37"/>
        <v>0.23229057420091323</v>
      </c>
      <c r="K123" s="379"/>
      <c r="L123" s="379"/>
      <c r="M123" s="379"/>
      <c r="N123" s="379"/>
    </row>
    <row r="124" spans="2:14" ht="15.75" thickBot="1" x14ac:dyDescent="0.3">
      <c r="B124" s="157" t="s">
        <v>131</v>
      </c>
      <c r="C124" s="158"/>
      <c r="D124" s="286">
        <f>(D69-D122)/D69</f>
        <v>0.13072049718683337</v>
      </c>
      <c r="E124" s="195">
        <f>(E69-E122)/E69</f>
        <v>0.13000025968879059</v>
      </c>
      <c r="F124" s="286">
        <f>(F69-F122)/F69</f>
        <v>0.13000025968879048</v>
      </c>
      <c r="G124" s="196">
        <f>(G69-G122)/G69</f>
        <v>0.14587086144704123</v>
      </c>
    </row>
  </sheetData>
  <dataConsolidate/>
  <conditionalFormatting sqref="K3:AE3 K4:P4 U4:AE4">
    <cfRule type="cellIs" dxfId="111" priority="41" operator="equal">
      <formula>"SOP"</formula>
    </cfRule>
    <cfRule type="cellIs" dxfId="110" priority="42" operator="equal">
      <formula>"Peak"</formula>
    </cfRule>
    <cfRule type="cellIs" dxfId="109" priority="43" operator="equal">
      <formula>"Partial"</formula>
    </cfRule>
    <cfRule type="cellIs" dxfId="108" priority="44" operator="equal">
      <formula>"Off"</formula>
    </cfRule>
  </conditionalFormatting>
  <conditionalFormatting sqref="K5:P5 AA5:AE5">
    <cfRule type="cellIs" dxfId="107" priority="37" operator="equal">
      <formula>"SOP"</formula>
    </cfRule>
    <cfRule type="cellIs" dxfId="106" priority="38" operator="equal">
      <formula>"Peak"</formula>
    </cfRule>
    <cfRule type="cellIs" dxfId="105" priority="39" operator="equal">
      <formula>"Partial"</formula>
    </cfRule>
    <cfRule type="cellIs" dxfId="104" priority="40" operator="equal">
      <formula>"Off"</formula>
    </cfRule>
  </conditionalFormatting>
  <conditionalFormatting sqref="Q5:Z5">
    <cfRule type="cellIs" dxfId="103" priority="33" operator="equal">
      <formula>"SOP"</formula>
    </cfRule>
    <cfRule type="cellIs" dxfId="102" priority="34" operator="equal">
      <formula>"Peak"</formula>
    </cfRule>
    <cfRule type="cellIs" dxfId="101" priority="35" operator="equal">
      <formula>"Partial"</formula>
    </cfRule>
    <cfRule type="cellIs" dxfId="100" priority="36" operator="equal">
      <formula>"Off"</formula>
    </cfRule>
  </conditionalFormatting>
  <conditionalFormatting sqref="AF3:AH4">
    <cfRule type="cellIs" dxfId="99" priority="25" operator="equal">
      <formula>"SOP"</formula>
    </cfRule>
    <cfRule type="cellIs" dxfId="98" priority="26" operator="equal">
      <formula>"Peak"</formula>
    </cfRule>
    <cfRule type="cellIs" dxfId="97" priority="27" operator="equal">
      <formula>"Partial"</formula>
    </cfRule>
    <cfRule type="cellIs" dxfId="96" priority="28" operator="equal">
      <formula>"Off"</formula>
    </cfRule>
  </conditionalFormatting>
  <conditionalFormatting sqref="AF5:AH5">
    <cfRule type="cellIs" dxfId="95" priority="21" operator="equal">
      <formula>"SOP"</formula>
    </cfRule>
    <cfRule type="cellIs" dxfId="94" priority="22" operator="equal">
      <formula>"Peak"</formula>
    </cfRule>
    <cfRule type="cellIs" dxfId="93" priority="23" operator="equal">
      <formula>"Partial"</formula>
    </cfRule>
    <cfRule type="cellIs" dxfId="92" priority="24" operator="equal">
      <formula>"Off"</formula>
    </cfRule>
  </conditionalFormatting>
  <conditionalFormatting sqref="Q4:T4">
    <cfRule type="cellIs" dxfId="91" priority="29" operator="equal">
      <formula>"SOP"</formula>
    </cfRule>
    <cfRule type="cellIs" dxfId="90" priority="30" operator="equal">
      <formula>"Peak"</formula>
    </cfRule>
    <cfRule type="cellIs" dxfId="89" priority="31" operator="equal">
      <formula>"Partial"</formula>
    </cfRule>
    <cfRule type="cellIs" dxfId="88" priority="32" operator="equal">
      <formula>"Off"</formula>
    </cfRule>
  </conditionalFormatting>
  <conditionalFormatting sqref="K10:AE11">
    <cfRule type="cellIs" dxfId="87" priority="17" operator="equal">
      <formula>"SOP"</formula>
    </cfRule>
    <cfRule type="cellIs" dxfId="86" priority="18" operator="equal">
      <formula>"Peak"</formula>
    </cfRule>
    <cfRule type="cellIs" dxfId="85" priority="19" operator="equal">
      <formula>"Partial"</formula>
    </cfRule>
    <cfRule type="cellIs" dxfId="84" priority="20" operator="equal">
      <formula>"Off"</formula>
    </cfRule>
  </conditionalFormatting>
  <conditionalFormatting sqref="AA12:AE12 K12:X12">
    <cfRule type="cellIs" dxfId="83" priority="13" operator="equal">
      <formula>"SOP"</formula>
    </cfRule>
    <cfRule type="cellIs" dxfId="82" priority="14" operator="equal">
      <formula>"Peak"</formula>
    </cfRule>
    <cfRule type="cellIs" dxfId="81" priority="15" operator="equal">
      <formula>"Partial"</formula>
    </cfRule>
    <cfRule type="cellIs" dxfId="80" priority="16" operator="equal">
      <formula>"Off"</formula>
    </cfRule>
  </conditionalFormatting>
  <conditionalFormatting sqref="Y12:Z12">
    <cfRule type="cellIs" dxfId="79" priority="9" operator="equal">
      <formula>"SOP"</formula>
    </cfRule>
    <cfRule type="cellIs" dxfId="78" priority="10" operator="equal">
      <formula>"Peak"</formula>
    </cfRule>
    <cfRule type="cellIs" dxfId="77" priority="11" operator="equal">
      <formula>"Partial"</formula>
    </cfRule>
    <cfRule type="cellIs" dxfId="76" priority="12" operator="equal">
      <formula>"Off"</formula>
    </cfRule>
  </conditionalFormatting>
  <conditionalFormatting sqref="AF10:AH11">
    <cfRule type="cellIs" dxfId="75" priority="5" operator="equal">
      <formula>"SOP"</formula>
    </cfRule>
    <cfRule type="cellIs" dxfId="74" priority="6" operator="equal">
      <formula>"Peak"</formula>
    </cfRule>
    <cfRule type="cellIs" dxfId="73" priority="7" operator="equal">
      <formula>"Partial"</formula>
    </cfRule>
    <cfRule type="cellIs" dxfId="72" priority="8" operator="equal">
      <formula>"Off"</formula>
    </cfRule>
  </conditionalFormatting>
  <conditionalFormatting sqref="AF12:AH12">
    <cfRule type="cellIs" dxfId="71" priority="1" operator="equal">
      <formula>"SOP"</formula>
    </cfRule>
    <cfRule type="cellIs" dxfId="70" priority="2" operator="equal">
      <formula>"Peak"</formula>
    </cfRule>
    <cfRule type="cellIs" dxfId="69" priority="3" operator="equal">
      <formula>"Partial"</formula>
    </cfRule>
    <cfRule type="cellIs" dxfId="68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1:BU121"/>
  <sheetViews>
    <sheetView topLeftCell="B1" zoomScale="60" zoomScaleNormal="60" workbookViewId="0">
      <selection activeCell="B1" sqref="B1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154</v>
      </c>
      <c r="AE1" s="118"/>
      <c r="AF1" s="119"/>
      <c r="AG1" s="119"/>
      <c r="AH1" s="119"/>
      <c r="AI1" s="119"/>
    </row>
    <row r="2" spans="2:62" ht="15" customHeight="1" x14ac:dyDescent="0.25">
      <c r="B2" s="121" t="s">
        <v>57</v>
      </c>
      <c r="C2" s="122"/>
      <c r="D2" s="389">
        <v>7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59</v>
      </c>
      <c r="C3" s="124"/>
      <c r="D3" s="254">
        <v>4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60</v>
      </c>
      <c r="C4" s="124"/>
      <c r="D4" s="254">
        <v>100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62</v>
      </c>
      <c r="C5" s="124"/>
      <c r="D5" s="254">
        <f>D4*D3</f>
        <v>400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155</v>
      </c>
      <c r="C6" s="124"/>
      <c r="D6" s="253">
        <f>(D2*D5*D8)/(D5*24*D8)</f>
        <v>0.29166666666666669</v>
      </c>
      <c r="E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65</v>
      </c>
      <c r="C7" s="124"/>
      <c r="D7" s="254">
        <v>7</v>
      </c>
      <c r="J7" s="129" t="s">
        <v>64</v>
      </c>
      <c r="K7" s="307">
        <f>P35</f>
        <v>81.783479118641097</v>
      </c>
      <c r="L7" s="307">
        <f>P36</f>
        <v>65.250556292911384</v>
      </c>
      <c r="M7" s="307">
        <f>P37</f>
        <v>52.305966824012778</v>
      </c>
      <c r="N7" s="307">
        <f>P38</f>
        <v>56.508006371990916</v>
      </c>
      <c r="O7" s="307">
        <f>P39</f>
        <v>54.661811637064069</v>
      </c>
      <c r="P7" s="307">
        <f>P40</f>
        <v>61.373564327852563</v>
      </c>
      <c r="Q7" s="307">
        <f>P41</f>
        <v>86.709365434658466</v>
      </c>
      <c r="R7" s="307">
        <f>P42</f>
        <v>96.85636969767755</v>
      </c>
      <c r="S7" s="307">
        <f>P43</f>
        <v>111.98691715529597</v>
      </c>
      <c r="T7" s="307">
        <f>P44</f>
        <v>125.03853913497572</v>
      </c>
      <c r="U7" s="307">
        <f>P45</f>
        <v>138.38595060365972</v>
      </c>
      <c r="V7" s="307">
        <f>P46</f>
        <v>149.06132957051582</v>
      </c>
      <c r="W7" s="307">
        <f>P47</f>
        <v>156.5261559386488</v>
      </c>
      <c r="X7" s="307">
        <f>P48</f>
        <v>158.34809597705677</v>
      </c>
      <c r="Y7" s="307">
        <f>P49</f>
        <v>158.95640723070667</v>
      </c>
      <c r="Z7" s="307">
        <f>P50</f>
        <v>156.53789174680725</v>
      </c>
      <c r="AA7" s="307">
        <f>P51</f>
        <v>161.83817355828992</v>
      </c>
      <c r="AB7" s="307">
        <f>P52</f>
        <v>155.58536130511817</v>
      </c>
      <c r="AC7" s="307">
        <f>P53</f>
        <v>155.07178543111431</v>
      </c>
      <c r="AD7" s="307">
        <f>P54</f>
        <v>153.05219040581744</v>
      </c>
      <c r="AE7" s="307">
        <f>P55</f>
        <v>141.90095508300098</v>
      </c>
      <c r="AF7" s="307">
        <f>P56</f>
        <v>126.31191416717306</v>
      </c>
      <c r="AG7" s="307">
        <f>P57</f>
        <v>106.03822761186109</v>
      </c>
      <c r="AH7" s="307">
        <f>P58</f>
        <v>89.910985375149352</v>
      </c>
      <c r="BG7" s="16"/>
    </row>
    <row r="8" spans="2:62" ht="15" customHeight="1" thickBot="1" x14ac:dyDescent="0.3">
      <c r="B8" s="123" t="s">
        <v>66</v>
      </c>
      <c r="C8" s="124"/>
      <c r="D8" s="255">
        <v>30.416666666666668</v>
      </c>
      <c r="K8" s="209"/>
      <c r="BG8" s="130"/>
    </row>
    <row r="9" spans="2:62" ht="15" customHeight="1" thickBot="1" x14ac:dyDescent="0.3">
      <c r="B9" s="123" t="s">
        <v>68</v>
      </c>
      <c r="C9" s="124"/>
      <c r="D9" s="255">
        <f>D8/7</f>
        <v>4.3452380952380958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31" t="s">
        <v>71</v>
      </c>
      <c r="C10" s="132"/>
      <c r="D10" s="256">
        <v>5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35" t="s">
        <v>72</v>
      </c>
      <c r="C11" s="136"/>
      <c r="D11" s="257">
        <v>2</v>
      </c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138" t="s">
        <v>73</v>
      </c>
      <c r="C12" s="139"/>
      <c r="D12" s="258">
        <f>12-D10-D11</f>
        <v>5</v>
      </c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thickBot="1" x14ac:dyDescent="0.3">
      <c r="B13" s="140" t="s">
        <v>74</v>
      </c>
      <c r="C13" s="141"/>
      <c r="D13" s="265">
        <v>0.5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43" t="s">
        <v>76</v>
      </c>
      <c r="C14" s="144"/>
      <c r="D14" s="260">
        <v>8</v>
      </c>
      <c r="J14" s="129" t="s">
        <v>64</v>
      </c>
      <c r="K14" s="307">
        <f>P35</f>
        <v>81.783479118641097</v>
      </c>
      <c r="L14" s="307">
        <f>P36</f>
        <v>65.250556292911384</v>
      </c>
      <c r="M14" s="307">
        <f>P37</f>
        <v>52.305966824012778</v>
      </c>
      <c r="N14" s="307">
        <f>P38</f>
        <v>56.508006371990916</v>
      </c>
      <c r="O14" s="307">
        <f>P39</f>
        <v>54.661811637064069</v>
      </c>
      <c r="P14" s="307">
        <f>P40</f>
        <v>61.373564327852563</v>
      </c>
      <c r="Q14" s="307">
        <f>P41</f>
        <v>86.709365434658466</v>
      </c>
      <c r="R14" s="307">
        <f>P42</f>
        <v>96.85636969767755</v>
      </c>
      <c r="S14" s="307">
        <f>P43</f>
        <v>111.98691715529597</v>
      </c>
      <c r="T14" s="307">
        <f>P44</f>
        <v>125.03853913497572</v>
      </c>
      <c r="U14" s="307">
        <f>P45</f>
        <v>138.38595060365972</v>
      </c>
      <c r="V14" s="307">
        <f>P46</f>
        <v>149.06132957051582</v>
      </c>
      <c r="W14" s="307">
        <f>P47</f>
        <v>156.5261559386488</v>
      </c>
      <c r="X14" s="307">
        <f>P48</f>
        <v>158.34809597705677</v>
      </c>
      <c r="Y14" s="307">
        <f>P49</f>
        <v>158.95640723070667</v>
      </c>
      <c r="Z14" s="307">
        <f>P50</f>
        <v>156.53789174680725</v>
      </c>
      <c r="AA14" s="307">
        <f>P51</f>
        <v>161.83817355828992</v>
      </c>
      <c r="AB14" s="307">
        <f>P52</f>
        <v>155.58536130511817</v>
      </c>
      <c r="AC14" s="307">
        <f>P53</f>
        <v>155.07178543111431</v>
      </c>
      <c r="AD14" s="307">
        <f>P54</f>
        <v>153.05219040581744</v>
      </c>
      <c r="AE14" s="307">
        <f>P55</f>
        <v>141.90095508300098</v>
      </c>
      <c r="AF14" s="307">
        <f>P56</f>
        <v>126.31191416717306</v>
      </c>
      <c r="AG14" s="307">
        <f>P57</f>
        <v>106.03822761186109</v>
      </c>
      <c r="AH14" s="307">
        <f>P58</f>
        <v>89.910985375149352</v>
      </c>
    </row>
    <row r="15" spans="2:62" ht="15" customHeight="1" x14ac:dyDescent="0.25">
      <c r="B15" s="143" t="s">
        <v>78</v>
      </c>
      <c r="C15" s="144"/>
      <c r="D15" s="261" t="s">
        <v>79</v>
      </c>
      <c r="E15" s="10" t="s">
        <v>77</v>
      </c>
    </row>
    <row r="16" spans="2:62" ht="15" customHeight="1" thickBot="1" x14ac:dyDescent="0.3">
      <c r="B16" s="147" t="s">
        <v>81</v>
      </c>
      <c r="C16" s="148"/>
      <c r="D16" s="262">
        <v>0</v>
      </c>
      <c r="J16" s="21" t="s">
        <v>75</v>
      </c>
    </row>
    <row r="17" spans="2:34" ht="15" customHeight="1" thickBot="1" x14ac:dyDescent="0.3">
      <c r="J17" s="186" t="s">
        <v>3</v>
      </c>
    </row>
    <row r="18" spans="2:34" ht="15" customHeight="1" thickBot="1" x14ac:dyDescent="0.3">
      <c r="B18" s="93" t="s">
        <v>87</v>
      </c>
      <c r="C18" s="116"/>
      <c r="D18" s="116"/>
      <c r="E18" s="116"/>
      <c r="F18" s="116"/>
      <c r="G18" s="185"/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1132.8672149080294</v>
      </c>
      <c r="AB18" s="309">
        <f t="shared" si="0"/>
        <v>1089.0975291358272</v>
      </c>
      <c r="AC18" s="309">
        <f t="shared" si="0"/>
        <v>1085.5024980178002</v>
      </c>
      <c r="AD18" s="309">
        <f t="shared" si="0"/>
        <v>1071.3653328407222</v>
      </c>
      <c r="AE18" s="309">
        <f t="shared" si="0"/>
        <v>993.30668558100683</v>
      </c>
      <c r="AF18" s="308"/>
      <c r="AG18" s="308"/>
      <c r="AH18" s="308"/>
    </row>
    <row r="19" spans="2:34" ht="29.1" customHeight="1" thickBot="1" x14ac:dyDescent="0.3">
      <c r="B19" s="105" t="s">
        <v>88</v>
      </c>
      <c r="C19" s="106" t="s">
        <v>20</v>
      </c>
      <c r="D19" s="105" t="s">
        <v>3</v>
      </c>
      <c r="E19" s="107" t="s">
        <v>4</v>
      </c>
      <c r="F19" s="107" t="s">
        <v>5</v>
      </c>
      <c r="G19" s="105" t="s">
        <v>6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433.54682717329234</v>
      </c>
      <c r="R19" s="310">
        <f t="shared" ref="R19:X19" si="1">R$7*5</f>
        <v>484.28184848838777</v>
      </c>
      <c r="S19" s="310">
        <f t="shared" si="1"/>
        <v>559.93458577647982</v>
      </c>
      <c r="T19" s="310">
        <f t="shared" si="1"/>
        <v>625.19269567487856</v>
      </c>
      <c r="U19" s="310">
        <f t="shared" si="1"/>
        <v>691.92975301829858</v>
      </c>
      <c r="V19" s="310">
        <f t="shared" si="1"/>
        <v>745.30664785257909</v>
      </c>
      <c r="W19" s="310">
        <f t="shared" si="1"/>
        <v>782.63077969324399</v>
      </c>
      <c r="X19" s="310">
        <f t="shared" si="1"/>
        <v>791.74047988528389</v>
      </c>
      <c r="Y19" s="310">
        <f t="shared" ref="L19:Z20" si="2">Y$7*5+Y$14*2</f>
        <v>1112.6948506149467</v>
      </c>
      <c r="Z19" s="310">
        <f t="shared" si="2"/>
        <v>1095.7652422276506</v>
      </c>
      <c r="AA19" s="308"/>
      <c r="AB19" s="308"/>
      <c r="AC19" s="308"/>
      <c r="AD19" s="308"/>
      <c r="AE19" s="308"/>
      <c r="AF19" s="310">
        <f>AF$7*5+AF$14*2</f>
        <v>884.18339917021149</v>
      </c>
      <c r="AG19" s="310">
        <f t="shared" si="0"/>
        <v>742.26759328302762</v>
      </c>
      <c r="AH19" s="310">
        <f t="shared" si="0"/>
        <v>629.37689762604555</v>
      </c>
    </row>
    <row r="20" spans="2:34" ht="15" customHeight="1" thickBot="1" x14ac:dyDescent="0.3">
      <c r="B20" s="94"/>
      <c r="C20" s="95"/>
      <c r="D20" s="95"/>
      <c r="E20" s="95"/>
      <c r="F20" s="95"/>
      <c r="G20" s="95"/>
      <c r="J20" s="146" t="s">
        <v>84</v>
      </c>
      <c r="K20" s="311">
        <f>K$7*5+K$14*2</f>
        <v>572.48435383048763</v>
      </c>
      <c r="L20" s="311">
        <f t="shared" si="2"/>
        <v>456.7538940503797</v>
      </c>
      <c r="M20" s="311">
        <f t="shared" si="2"/>
        <v>366.14176776808944</v>
      </c>
      <c r="N20" s="311">
        <f t="shared" si="2"/>
        <v>395.55604460393641</v>
      </c>
      <c r="O20" s="311">
        <f t="shared" si="2"/>
        <v>382.63268145944846</v>
      </c>
      <c r="P20" s="311">
        <f t="shared" si="2"/>
        <v>429.61495029496797</v>
      </c>
      <c r="Q20" s="311">
        <f>Q$14*2</f>
        <v>173.41873086931693</v>
      </c>
      <c r="R20" s="311">
        <f t="shared" ref="R20:X20" si="3">R$14*2</f>
        <v>193.7127393953551</v>
      </c>
      <c r="S20" s="311">
        <f t="shared" si="3"/>
        <v>223.97383431059194</v>
      </c>
      <c r="T20" s="311">
        <f t="shared" si="3"/>
        <v>250.07707826995144</v>
      </c>
      <c r="U20" s="311">
        <f t="shared" si="3"/>
        <v>276.77190120731944</v>
      </c>
      <c r="V20" s="311">
        <f t="shared" si="3"/>
        <v>298.12265914103165</v>
      </c>
      <c r="W20" s="311">
        <f t="shared" si="3"/>
        <v>313.0523118772976</v>
      </c>
      <c r="X20" s="311">
        <f t="shared" si="3"/>
        <v>316.69619195411354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</row>
    <row r="21" spans="2:34" ht="15" customHeight="1" thickBot="1" x14ac:dyDescent="0.3">
      <c r="B21" s="149" t="s">
        <v>89</v>
      </c>
      <c r="C21" s="96" t="s">
        <v>90</v>
      </c>
      <c r="D21" s="97" t="s">
        <v>91</v>
      </c>
      <c r="E21" s="97" t="s">
        <v>91</v>
      </c>
      <c r="F21" s="97" t="s">
        <v>91</v>
      </c>
      <c r="G21" s="97" t="s">
        <v>91</v>
      </c>
    </row>
    <row r="22" spans="2:34" ht="15" customHeight="1" thickBot="1" x14ac:dyDescent="0.3">
      <c r="B22" s="149" t="s">
        <v>27</v>
      </c>
      <c r="C22" s="96" t="s">
        <v>90</v>
      </c>
      <c r="D22" s="97" t="s">
        <v>92</v>
      </c>
      <c r="E22" s="97" t="s">
        <v>92</v>
      </c>
      <c r="F22" s="97" t="s">
        <v>92</v>
      </c>
      <c r="G22" s="97" t="s">
        <v>92</v>
      </c>
      <c r="J22" s="187" t="s">
        <v>4</v>
      </c>
    </row>
    <row r="23" spans="2:34" ht="15" customHeight="1" thickBot="1" x14ac:dyDescent="0.3">
      <c r="B23" s="149"/>
      <c r="C23" s="96"/>
      <c r="D23" s="97"/>
      <c r="E23" s="97"/>
      <c r="F23" s="97"/>
      <c r="G23" s="97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4">AA$7*5+AA$14*2</f>
        <v>1132.8672149080294</v>
      </c>
      <c r="AB23" s="309">
        <f t="shared" si="4"/>
        <v>1089.0975291358272</v>
      </c>
      <c r="AC23" s="309">
        <f t="shared" si="4"/>
        <v>1085.5024980178002</v>
      </c>
      <c r="AD23" s="309">
        <f t="shared" si="4"/>
        <v>1071.3653328407222</v>
      </c>
      <c r="AE23" s="309">
        <f t="shared" si="4"/>
        <v>993.30668558100683</v>
      </c>
      <c r="AF23" s="308"/>
      <c r="AG23" s="308"/>
      <c r="AH23" s="308"/>
    </row>
    <row r="24" spans="2:34" ht="15" customHeight="1" thickBot="1" x14ac:dyDescent="0.3">
      <c r="B24" s="150" t="s">
        <v>156</v>
      </c>
      <c r="C24" s="96" t="s">
        <v>94</v>
      </c>
      <c r="D24" s="97">
        <v>1</v>
      </c>
      <c r="E24" s="97">
        <v>1</v>
      </c>
      <c r="F24" s="97">
        <v>1</v>
      </c>
      <c r="G24" s="97">
        <v>1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5">Q$7*5+Q$14*2</f>
        <v>606.96555804260925</v>
      </c>
      <c r="R24" s="310">
        <f t="shared" si="5"/>
        <v>677.99458788374284</v>
      </c>
      <c r="S24" s="310">
        <f t="shared" si="5"/>
        <v>783.90842008707182</v>
      </c>
      <c r="T24" s="310">
        <f t="shared" ref="T24" si="6">T$7*5</f>
        <v>625.19269567487856</v>
      </c>
      <c r="U24" s="312"/>
      <c r="V24" s="312"/>
      <c r="W24" s="312"/>
      <c r="X24" s="312"/>
      <c r="Y24" s="310">
        <f t="shared" si="5"/>
        <v>1112.6948506149467</v>
      </c>
      <c r="Z24" s="310">
        <f t="shared" si="5"/>
        <v>1095.7652422276506</v>
      </c>
      <c r="AA24" s="308"/>
      <c r="AB24" s="308"/>
      <c r="AC24" s="308"/>
      <c r="AD24" s="308"/>
      <c r="AE24" s="308"/>
      <c r="AF24" s="310">
        <f>AF$7*5+AF$14*2</f>
        <v>884.18339917021149</v>
      </c>
      <c r="AG24" s="310">
        <f t="shared" si="4"/>
        <v>742.26759328302762</v>
      </c>
      <c r="AH24" s="310">
        <f t="shared" si="4"/>
        <v>629.37689762604555</v>
      </c>
    </row>
    <row r="25" spans="2:34" ht="15" customHeight="1" thickBot="1" x14ac:dyDescent="0.3">
      <c r="B25" s="150" t="s">
        <v>93</v>
      </c>
      <c r="C25" s="96" t="s">
        <v>95</v>
      </c>
      <c r="D25" s="97">
        <f>ROUNDUP(($D$5-($D$24*25))/25,0)</f>
        <v>15</v>
      </c>
      <c r="E25" s="97">
        <f t="shared" ref="E25:G25" si="7">ROUNDUP(($D$5-($D$24*25))/25,0)</f>
        <v>15</v>
      </c>
      <c r="F25" s="97">
        <f t="shared" si="7"/>
        <v>15</v>
      </c>
      <c r="G25" s="97">
        <f t="shared" si="7"/>
        <v>15</v>
      </c>
      <c r="J25" s="146" t="s">
        <v>84</v>
      </c>
      <c r="K25" s="311">
        <f t="shared" ref="K25:P25" si="8">K$7*5+K$14*2</f>
        <v>572.48435383048763</v>
      </c>
      <c r="L25" s="311">
        <f t="shared" si="8"/>
        <v>456.7538940503797</v>
      </c>
      <c r="M25" s="311">
        <f t="shared" si="8"/>
        <v>366.14176776808944</v>
      </c>
      <c r="N25" s="311">
        <f t="shared" si="8"/>
        <v>395.55604460393641</v>
      </c>
      <c r="O25" s="311">
        <f t="shared" si="8"/>
        <v>382.63268145944846</v>
      </c>
      <c r="P25" s="311">
        <f t="shared" si="8"/>
        <v>429.61495029496797</v>
      </c>
      <c r="Q25" s="311">
        <f>Q$14*2</f>
        <v>173.41873086931693</v>
      </c>
      <c r="R25" s="311">
        <f t="shared" ref="R25:T25" si="9">R$14*2</f>
        <v>193.7127393953551</v>
      </c>
      <c r="S25" s="311">
        <f t="shared" si="9"/>
        <v>223.97383431059194</v>
      </c>
      <c r="T25" s="311">
        <f t="shared" si="9"/>
        <v>250.07707826995144</v>
      </c>
      <c r="U25" s="311">
        <f>U$7*5+U$14*2</f>
        <v>968.70165422561809</v>
      </c>
      <c r="V25" s="311">
        <f t="shared" ref="V25:X25" si="10">V$7*5+V$14*2</f>
        <v>1043.4293069936107</v>
      </c>
      <c r="W25" s="311">
        <f t="shared" si="10"/>
        <v>1095.6830915705416</v>
      </c>
      <c r="X25" s="311">
        <f t="shared" si="10"/>
        <v>1108.4366718393974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5" customHeight="1" thickBot="1" x14ac:dyDescent="0.3">
      <c r="B26" s="150"/>
      <c r="C26" s="96"/>
      <c r="D26" s="97"/>
      <c r="E26" s="97"/>
      <c r="F26" s="97"/>
      <c r="G26" s="97"/>
    </row>
    <row r="27" spans="2:34" ht="15" customHeight="1" thickBot="1" x14ac:dyDescent="0.3">
      <c r="B27" s="150" t="s">
        <v>96</v>
      </c>
      <c r="C27" s="96"/>
      <c r="D27" s="97"/>
      <c r="E27" s="97"/>
      <c r="F27" s="97"/>
      <c r="G27" s="97"/>
      <c r="J27" s="188" t="s">
        <v>61</v>
      </c>
    </row>
    <row r="28" spans="2:34" ht="15" customHeight="1" thickBot="1" x14ac:dyDescent="0.3">
      <c r="B28" s="149" t="s">
        <v>80</v>
      </c>
      <c r="C28" s="98" t="s">
        <v>97</v>
      </c>
      <c r="D28" s="101">
        <v>400</v>
      </c>
      <c r="E28" s="101">
        <v>400</v>
      </c>
      <c r="F28" s="101">
        <v>400</v>
      </c>
      <c r="G28" s="101">
        <v>400</v>
      </c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1132.8672149080294</v>
      </c>
      <c r="AB28" s="309">
        <f t="shared" si="11"/>
        <v>1089.0975291358272</v>
      </c>
      <c r="AC28" s="309">
        <f t="shared" si="11"/>
        <v>1085.5024980178002</v>
      </c>
      <c r="AD28" s="309">
        <f t="shared" si="11"/>
        <v>1071.3653328407222</v>
      </c>
      <c r="AE28" s="309">
        <f t="shared" si="11"/>
        <v>993.30668558100683</v>
      </c>
      <c r="AF28" s="308"/>
      <c r="AG28" s="308"/>
      <c r="AH28" s="308"/>
    </row>
    <row r="29" spans="2:34" ht="15" customHeight="1" thickBot="1" x14ac:dyDescent="0.3">
      <c r="B29" s="149" t="s">
        <v>101</v>
      </c>
      <c r="C29" s="98" t="s">
        <v>97</v>
      </c>
      <c r="D29" s="101">
        <f t="shared" ref="D29:D30" si="12">$D$5</f>
        <v>400</v>
      </c>
      <c r="E29" s="101">
        <f t="shared" ref="E29:G30" si="13">$D$5</f>
        <v>400</v>
      </c>
      <c r="F29" s="101">
        <f t="shared" si="13"/>
        <v>400</v>
      </c>
      <c r="G29" s="101">
        <f t="shared" si="13"/>
        <v>400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4">Q$7*5</f>
        <v>433.54682717329234</v>
      </c>
      <c r="R29" s="310">
        <f t="shared" si="14"/>
        <v>484.28184848838777</v>
      </c>
      <c r="S29" s="310">
        <f t="shared" si="14"/>
        <v>559.93458577647982</v>
      </c>
      <c r="T29" s="310">
        <f t="shared" si="14"/>
        <v>625.19269567487856</v>
      </c>
      <c r="U29" s="310">
        <f t="shared" si="14"/>
        <v>691.92975301829858</v>
      </c>
      <c r="V29" s="310">
        <f t="shared" si="14"/>
        <v>745.30664785257909</v>
      </c>
      <c r="W29" s="310">
        <f t="shared" si="14"/>
        <v>782.63077969324399</v>
      </c>
      <c r="X29" s="310">
        <f>X$7*5</f>
        <v>791.74047988528389</v>
      </c>
      <c r="Y29" s="310">
        <f t="shared" ref="Y29:Z29" si="15">Y$7*5+Y$14*2</f>
        <v>1112.6948506149467</v>
      </c>
      <c r="Z29" s="310">
        <f t="shared" si="15"/>
        <v>1095.7652422276506</v>
      </c>
      <c r="AA29" s="308"/>
      <c r="AB29" s="308"/>
      <c r="AC29" s="308"/>
      <c r="AD29" s="308"/>
      <c r="AE29" s="308"/>
      <c r="AF29" s="310">
        <f>AF$7*5+AF$14*2</f>
        <v>884.18339917021149</v>
      </c>
      <c r="AG29" s="310">
        <f t="shared" si="11"/>
        <v>742.26759328302762</v>
      </c>
      <c r="AH29" s="310">
        <f t="shared" si="11"/>
        <v>629.37689762604555</v>
      </c>
    </row>
    <row r="30" spans="2:34" ht="15" customHeight="1" thickBot="1" x14ac:dyDescent="0.3">
      <c r="B30" s="149" t="s">
        <v>105</v>
      </c>
      <c r="C30" s="98" t="s">
        <v>97</v>
      </c>
      <c r="D30" s="101">
        <f t="shared" si="12"/>
        <v>400</v>
      </c>
      <c r="E30" s="101">
        <f t="shared" si="13"/>
        <v>400</v>
      </c>
      <c r="F30" s="101">
        <f t="shared" si="13"/>
        <v>400</v>
      </c>
      <c r="G30" s="101">
        <f t="shared" si="13"/>
        <v>400</v>
      </c>
      <c r="J30" s="146" t="s">
        <v>84</v>
      </c>
      <c r="K30" s="311">
        <f t="shared" ref="K30:P30" si="16">K$7*5+K$14*2</f>
        <v>572.48435383048763</v>
      </c>
      <c r="L30" s="311">
        <f t="shared" si="16"/>
        <v>456.7538940503797</v>
      </c>
      <c r="M30" s="311">
        <f t="shared" si="16"/>
        <v>366.14176776808944</v>
      </c>
      <c r="N30" s="311">
        <f t="shared" si="16"/>
        <v>395.55604460393641</v>
      </c>
      <c r="O30" s="311">
        <f t="shared" si="16"/>
        <v>382.63268145944846</v>
      </c>
      <c r="P30" s="311">
        <f t="shared" si="16"/>
        <v>429.61495029496797</v>
      </c>
      <c r="Q30" s="311">
        <f>Q$14*2</f>
        <v>173.41873086931693</v>
      </c>
      <c r="R30" s="311">
        <f t="shared" ref="R30:X30" si="17">R$14*2</f>
        <v>193.7127393953551</v>
      </c>
      <c r="S30" s="311">
        <f t="shared" si="17"/>
        <v>223.97383431059194</v>
      </c>
      <c r="T30" s="311">
        <f t="shared" si="17"/>
        <v>250.07707826995144</v>
      </c>
      <c r="U30" s="311">
        <f t="shared" si="17"/>
        <v>276.77190120731944</v>
      </c>
      <c r="V30" s="311">
        <f t="shared" si="17"/>
        <v>298.12265914103165</v>
      </c>
      <c r="W30" s="311">
        <f t="shared" si="17"/>
        <v>313.0523118772976</v>
      </c>
      <c r="X30" s="311">
        <f t="shared" si="17"/>
        <v>316.69619195411354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" customHeight="1" thickBot="1" x14ac:dyDescent="0.3">
      <c r="B31" s="149"/>
      <c r="C31" s="149"/>
      <c r="D31" s="99"/>
      <c r="E31" s="99"/>
      <c r="F31" s="99"/>
      <c r="G31" s="99"/>
    </row>
    <row r="32" spans="2:34" ht="15" customHeight="1" x14ac:dyDescent="0.25">
      <c r="B32" s="100" t="s">
        <v>107</v>
      </c>
      <c r="C32" s="100"/>
      <c r="D32" s="99"/>
      <c r="E32" s="99"/>
      <c r="F32" s="99"/>
      <c r="G32" s="99"/>
      <c r="N32" s="152"/>
      <c r="O32" s="120"/>
      <c r="P32" s="201"/>
    </row>
    <row r="33" spans="2:17" ht="15" customHeight="1" thickBot="1" x14ac:dyDescent="0.3">
      <c r="B33" s="100" t="s">
        <v>45</v>
      </c>
      <c r="C33" s="99" t="s">
        <v>106</v>
      </c>
      <c r="D33" s="101">
        <f>K35</f>
        <v>116716.12083788309</v>
      </c>
      <c r="E33" s="101">
        <f>K40</f>
        <v>46686.44833515324</v>
      </c>
      <c r="F33" s="101">
        <f>K45</f>
        <v>116716.12083788309</v>
      </c>
      <c r="G33" s="101">
        <f>D33+E33+F33</f>
        <v>280118.69001091941</v>
      </c>
      <c r="H33" s="35"/>
      <c r="J33" s="151" t="s">
        <v>98</v>
      </c>
      <c r="N33" s="14"/>
      <c r="O33" s="184" t="s">
        <v>150</v>
      </c>
      <c r="P33" s="202" t="s">
        <v>100</v>
      </c>
    </row>
    <row r="34" spans="2:17" ht="15" customHeight="1" thickBot="1" x14ac:dyDescent="0.3">
      <c r="B34" s="100" t="s">
        <v>46</v>
      </c>
      <c r="C34" s="99" t="s">
        <v>106</v>
      </c>
      <c r="D34" s="101">
        <f>K36</f>
        <v>208111.9544152845</v>
      </c>
      <c r="E34" s="101">
        <f>K41</f>
        <v>62209.463673398037</v>
      </c>
      <c r="F34" s="101">
        <f>K46</f>
        <v>208111.9544152845</v>
      </c>
      <c r="G34" s="101">
        <f t="shared" ref="G34:G35" si="18">D34+E34+F34</f>
        <v>478433.37250396702</v>
      </c>
      <c r="H34" s="35"/>
      <c r="J34" s="186" t="s">
        <v>3</v>
      </c>
      <c r="K34" s="153"/>
      <c r="L34" s="153"/>
      <c r="N34" s="313" t="s">
        <v>157</v>
      </c>
      <c r="O34" s="22" t="s">
        <v>151</v>
      </c>
      <c r="P34" s="202" t="s">
        <v>104</v>
      </c>
    </row>
    <row r="35" spans="2:17" ht="15" customHeight="1" x14ac:dyDescent="0.25">
      <c r="B35" s="100" t="s">
        <v>48</v>
      </c>
      <c r="C35" s="99" t="s">
        <v>106</v>
      </c>
      <c r="D35" s="101">
        <f>K37</f>
        <v>101005.25808016578</v>
      </c>
      <c r="E35" s="101">
        <f>K42</f>
        <v>66574.407900257575</v>
      </c>
      <c r="F35" s="101">
        <f>K47</f>
        <v>101005.25808016578</v>
      </c>
      <c r="G35" s="101">
        <f t="shared" si="18"/>
        <v>268584.92406058911</v>
      </c>
      <c r="H35" s="35"/>
      <c r="J35" s="142" t="s">
        <v>80</v>
      </c>
      <c r="K35" s="154">
        <f>SUM(K18:AH18)*$D$9*$D$10</f>
        <v>116716.12083788309</v>
      </c>
      <c r="L35" s="125" t="s">
        <v>106</v>
      </c>
      <c r="N35" s="15">
        <v>0</v>
      </c>
      <c r="O35" s="370">
        <v>2.9208385399514678E-2</v>
      </c>
      <c r="P35" s="203">
        <f t="shared" ref="P35:P58" si="19">O35*$P$59</f>
        <v>81.783479118641097</v>
      </c>
      <c r="Q35" s="369"/>
    </row>
    <row r="36" spans="2:17" ht="15" customHeight="1" x14ac:dyDescent="0.25">
      <c r="B36" s="149"/>
      <c r="C36" s="149"/>
      <c r="D36" s="149"/>
      <c r="E36" s="149"/>
      <c r="F36" s="149"/>
      <c r="G36" s="149"/>
      <c r="J36" s="145" t="s">
        <v>82</v>
      </c>
      <c r="K36" s="154">
        <f>SUM(K19:AH19)*$D$9*$D$10</f>
        <v>208111.9544152845</v>
      </c>
      <c r="L36" s="125" t="s">
        <v>106</v>
      </c>
      <c r="N36" s="15">
        <v>4.1666666666666664E-2</v>
      </c>
      <c r="O36" s="370">
        <v>2.330377010461121E-2</v>
      </c>
      <c r="P36" s="203">
        <f t="shared" si="19"/>
        <v>65.250556292911384</v>
      </c>
      <c r="Q36" s="369"/>
    </row>
    <row r="37" spans="2:17" ht="15" customHeight="1" thickBot="1" x14ac:dyDescent="0.3">
      <c r="B37" s="100" t="s">
        <v>108</v>
      </c>
      <c r="C37" s="99" t="s">
        <v>109</v>
      </c>
      <c r="D37" s="101">
        <v>0</v>
      </c>
      <c r="E37" s="101">
        <v>0</v>
      </c>
      <c r="F37" s="101">
        <v>0</v>
      </c>
      <c r="G37" s="101">
        <v>0</v>
      </c>
      <c r="J37" s="146" t="s">
        <v>84</v>
      </c>
      <c r="K37" s="155">
        <f>SUM(K20:AH20)*$D$9*$D$10</f>
        <v>101005.25808016578</v>
      </c>
      <c r="L37" s="129" t="s">
        <v>106</v>
      </c>
      <c r="N37" s="15">
        <v>8.3333333333333301E-2</v>
      </c>
      <c r="O37" s="370">
        <v>1.8680702437147419E-2</v>
      </c>
      <c r="P37" s="203">
        <f t="shared" si="19"/>
        <v>52.305966824012778</v>
      </c>
      <c r="Q37" s="369"/>
    </row>
    <row r="38" spans="2:17" ht="15" customHeight="1" thickBot="1" x14ac:dyDescent="0.3">
      <c r="B38" s="102" t="s">
        <v>44</v>
      </c>
      <c r="C38" s="103" t="s">
        <v>106</v>
      </c>
      <c r="D38" s="104">
        <v>0</v>
      </c>
      <c r="E38" s="104">
        <v>0</v>
      </c>
      <c r="F38" s="104">
        <v>0</v>
      </c>
      <c r="G38" s="104">
        <v>0</v>
      </c>
      <c r="K38" s="35"/>
      <c r="N38" s="15">
        <v>0.125</v>
      </c>
      <c r="O38" s="370">
        <v>2.0181430847139612E-2</v>
      </c>
      <c r="P38" s="203">
        <f t="shared" si="19"/>
        <v>56.508006371990916</v>
      </c>
      <c r="Q38" s="369"/>
    </row>
    <row r="39" spans="2:17" ht="15" customHeight="1" thickBot="1" x14ac:dyDescent="0.3">
      <c r="B39" s="133"/>
      <c r="C39" s="127"/>
      <c r="D39" s="127"/>
      <c r="E39" s="127"/>
      <c r="F39" s="127"/>
      <c r="G39" s="128"/>
      <c r="J39" s="187" t="s">
        <v>4</v>
      </c>
      <c r="K39" s="153"/>
      <c r="L39" s="153"/>
      <c r="N39" s="15">
        <v>0.16666666666666699</v>
      </c>
      <c r="O39" s="370">
        <v>1.9522075584665739E-2</v>
      </c>
      <c r="P39" s="203">
        <f t="shared" si="19"/>
        <v>54.661811637064069</v>
      </c>
      <c r="Q39" s="369"/>
    </row>
    <row r="40" spans="2:17" ht="15" customHeight="1" thickBot="1" x14ac:dyDescent="0.3">
      <c r="B40" s="93" t="s">
        <v>110</v>
      </c>
      <c r="C40" s="116"/>
      <c r="D40" s="116"/>
      <c r="E40" s="116"/>
      <c r="F40" s="116"/>
      <c r="G40" s="185"/>
      <c r="J40" s="142" t="s">
        <v>80</v>
      </c>
      <c r="K40" s="154">
        <f>SUM(K23:AH23)*$D$9*$D$11</f>
        <v>46686.44833515324</v>
      </c>
      <c r="L40" s="125" t="s">
        <v>106</v>
      </c>
      <c r="N40" s="15">
        <v>0.20833333333333301</v>
      </c>
      <c r="O40" s="370">
        <v>2.1919130117090201E-2</v>
      </c>
      <c r="P40" s="203">
        <f t="shared" si="19"/>
        <v>61.373564327852563</v>
      </c>
      <c r="Q40" s="369"/>
    </row>
    <row r="41" spans="2:17" ht="30.6" customHeight="1" thickBot="1" x14ac:dyDescent="0.3">
      <c r="B41" s="105" t="s">
        <v>88</v>
      </c>
      <c r="C41" s="106" t="s">
        <v>20</v>
      </c>
      <c r="D41" s="105" t="s">
        <v>3</v>
      </c>
      <c r="E41" s="107" t="s">
        <v>4</v>
      </c>
      <c r="F41" s="107" t="s">
        <v>5</v>
      </c>
      <c r="G41" s="105" t="s">
        <v>6</v>
      </c>
      <c r="J41" s="145" t="s">
        <v>82</v>
      </c>
      <c r="K41" s="154">
        <f>SUM(K24:AH24)*$D$9*$D$11</f>
        <v>62209.463673398037</v>
      </c>
      <c r="L41" s="125" t="s">
        <v>106</v>
      </c>
      <c r="N41" s="15">
        <v>0.25</v>
      </c>
      <c r="O41" s="370">
        <v>3.0967630512378021E-2</v>
      </c>
      <c r="P41" s="203">
        <f t="shared" si="19"/>
        <v>86.709365434658466</v>
      </c>
      <c r="Q41" s="369"/>
    </row>
    <row r="42" spans="2:17" ht="15" customHeight="1" thickBot="1" x14ac:dyDescent="0.3">
      <c r="B42" s="164"/>
      <c r="C42" s="165"/>
      <c r="D42" s="165"/>
      <c r="E42" s="165"/>
      <c r="F42" s="165"/>
      <c r="G42" s="165"/>
      <c r="J42" s="146" t="s">
        <v>84</v>
      </c>
      <c r="K42" s="155">
        <f>SUM(K25:AH25)*$D$9*$D$11</f>
        <v>66574.407900257575</v>
      </c>
      <c r="L42" s="129" t="s">
        <v>106</v>
      </c>
      <c r="N42" s="15">
        <v>0.29166666666666702</v>
      </c>
      <c r="O42" s="370">
        <v>3.459156060631341E-2</v>
      </c>
      <c r="P42" s="203">
        <f t="shared" si="19"/>
        <v>96.85636969767755</v>
      </c>
      <c r="Q42" s="369"/>
    </row>
    <row r="43" spans="2:17" ht="15" customHeight="1" thickBot="1" x14ac:dyDescent="0.3">
      <c r="B43" s="166" t="s">
        <v>89</v>
      </c>
      <c r="C43" s="167" t="s">
        <v>111</v>
      </c>
      <c r="D43" s="299">
        <f>'Rate Summary TOU-M and EV-HP'!$E$8*$D$10</f>
        <v>507.8</v>
      </c>
      <c r="E43" s="299">
        <f>'Rate Summary TOU-M and EV-HP'!$E$8*$D$11</f>
        <v>203.12</v>
      </c>
      <c r="F43" s="299">
        <f>'Rate Summary TOU-M and EV-HP'!$E$8*$D$12</f>
        <v>507.8</v>
      </c>
      <c r="G43" s="299">
        <f>SUM(D43:F43)</f>
        <v>1218.72</v>
      </c>
      <c r="K43" s="35"/>
      <c r="N43" s="15">
        <v>0.33333333333333298</v>
      </c>
      <c r="O43" s="370">
        <v>3.9995327555462847E-2</v>
      </c>
      <c r="P43" s="203">
        <f t="shared" si="19"/>
        <v>111.98691715529597</v>
      </c>
      <c r="Q43" s="369"/>
    </row>
    <row r="44" spans="2:17" ht="15" customHeight="1" thickBot="1" x14ac:dyDescent="0.3">
      <c r="B44" s="166" t="s">
        <v>27</v>
      </c>
      <c r="C44" s="167" t="s">
        <v>111</v>
      </c>
      <c r="D44" s="300" t="s">
        <v>92</v>
      </c>
      <c r="E44" s="300" t="s">
        <v>92</v>
      </c>
      <c r="F44" s="300" t="s">
        <v>92</v>
      </c>
      <c r="G44" s="299" t="s">
        <v>92</v>
      </c>
      <c r="J44" s="188" t="s">
        <v>61</v>
      </c>
      <c r="K44" s="153"/>
      <c r="L44" s="153"/>
      <c r="N44" s="15">
        <v>0.375</v>
      </c>
      <c r="O44" s="370">
        <v>4.4656621119634185E-2</v>
      </c>
      <c r="P44" s="203">
        <f t="shared" si="19"/>
        <v>125.03853913497572</v>
      </c>
      <c r="Q44" s="369"/>
    </row>
    <row r="45" spans="2:17" ht="15" customHeight="1" x14ac:dyDescent="0.25">
      <c r="B45" s="166"/>
      <c r="C45" s="167"/>
      <c r="D45" s="299"/>
      <c r="E45" s="299"/>
      <c r="F45" s="299"/>
      <c r="G45" s="299"/>
      <c r="J45" s="142" t="s">
        <v>80</v>
      </c>
      <c r="K45" s="154">
        <f>SUM(K28:AH28)*$D$9*$D$12</f>
        <v>116716.12083788309</v>
      </c>
      <c r="L45" s="125" t="s">
        <v>106</v>
      </c>
      <c r="N45" s="15">
        <v>0.41666666666666702</v>
      </c>
      <c r="O45" s="370">
        <v>4.9423553787021332E-2</v>
      </c>
      <c r="P45" s="203">
        <f t="shared" si="19"/>
        <v>138.38595060365972</v>
      </c>
      <c r="Q45" s="369"/>
    </row>
    <row r="46" spans="2:17" ht="15" customHeight="1" x14ac:dyDescent="0.25">
      <c r="B46" s="169"/>
      <c r="C46" s="167"/>
      <c r="D46" s="299"/>
      <c r="E46" s="299"/>
      <c r="F46" s="299"/>
      <c r="G46" s="299"/>
      <c r="J46" s="145" t="s">
        <v>82</v>
      </c>
      <c r="K46" s="154">
        <f>SUM(K29:AH29)*$D$9*$D$12</f>
        <v>208111.9544152845</v>
      </c>
      <c r="L46" s="125" t="s">
        <v>106</v>
      </c>
      <c r="N46" s="15">
        <v>0.45833333333333298</v>
      </c>
      <c r="O46" s="370">
        <v>5.3236189132327076E-2</v>
      </c>
      <c r="P46" s="203">
        <f t="shared" si="19"/>
        <v>149.06132957051582</v>
      </c>
      <c r="Q46" s="369"/>
    </row>
    <row r="47" spans="2:17" ht="15" customHeight="1" thickBot="1" x14ac:dyDescent="0.3">
      <c r="B47" s="169" t="s">
        <v>114</v>
      </c>
      <c r="C47" s="167" t="s">
        <v>111</v>
      </c>
      <c r="D47" s="299" t="s">
        <v>92</v>
      </c>
      <c r="E47" s="299" t="s">
        <v>92</v>
      </c>
      <c r="F47" s="299" t="s">
        <v>92</v>
      </c>
      <c r="G47" s="300" t="s">
        <v>92</v>
      </c>
      <c r="J47" s="146" t="s">
        <v>84</v>
      </c>
      <c r="K47" s="155">
        <f>SUM(K30:AH30)*$D$9*$D$12</f>
        <v>101005.25808016578</v>
      </c>
      <c r="L47" s="129" t="s">
        <v>106</v>
      </c>
      <c r="N47" s="15">
        <v>0.5</v>
      </c>
      <c r="O47" s="370">
        <v>5.5902198549517425E-2</v>
      </c>
      <c r="P47" s="203">
        <f t="shared" si="19"/>
        <v>156.5261559386488</v>
      </c>
      <c r="Q47" s="369"/>
    </row>
    <row r="48" spans="2:17" ht="15" customHeight="1" thickBot="1" x14ac:dyDescent="0.3">
      <c r="B48" s="169"/>
      <c r="C48" s="167"/>
      <c r="D48" s="299"/>
      <c r="E48" s="299"/>
      <c r="F48" s="299"/>
      <c r="G48" s="299"/>
      <c r="N48" s="15">
        <v>0.54166666666666696</v>
      </c>
      <c r="O48" s="370">
        <v>5.6552891420377414E-2</v>
      </c>
      <c r="P48" s="203">
        <f t="shared" si="19"/>
        <v>158.34809597705677</v>
      </c>
      <c r="Q48" s="369"/>
    </row>
    <row r="49" spans="2:73" ht="15" customHeight="1" thickBot="1" x14ac:dyDescent="0.3">
      <c r="B49" s="169" t="s">
        <v>118</v>
      </c>
      <c r="C49" s="167"/>
      <c r="D49" s="299"/>
      <c r="E49" s="299"/>
      <c r="F49" s="299"/>
      <c r="G49" s="299"/>
      <c r="J49" s="163" t="s">
        <v>112</v>
      </c>
      <c r="K49" s="162">
        <f>SUM(K35:K47)</f>
        <v>1027136.9865754757</v>
      </c>
      <c r="L49" s="161" t="s">
        <v>106</v>
      </c>
      <c r="N49" s="15">
        <v>0.58333333333333304</v>
      </c>
      <c r="O49" s="370">
        <v>5.6770145439538094E-2</v>
      </c>
      <c r="P49" s="203">
        <f t="shared" si="19"/>
        <v>158.95640723070667</v>
      </c>
      <c r="Q49" s="369"/>
    </row>
    <row r="50" spans="2:73" ht="15" customHeight="1" x14ac:dyDescent="0.25">
      <c r="B50" s="166" t="s">
        <v>80</v>
      </c>
      <c r="C50" s="167" t="s">
        <v>111</v>
      </c>
      <c r="D50" s="300">
        <f>D28*'Rate Summary TOU-M and EV-HP'!$E12*$D$10</f>
        <v>0</v>
      </c>
      <c r="E50" s="300">
        <f>E28*'Rate Summary TOU-M and EV-HP'!$E13*$D$11</f>
        <v>0</v>
      </c>
      <c r="F50" s="300">
        <f>F28*'Rate Summary TOU-M and EV-HP'!$E13*$D$12</f>
        <v>0</v>
      </c>
      <c r="G50" s="299">
        <f>SUM(D50:F50)</f>
        <v>0</v>
      </c>
      <c r="M50" s="159"/>
      <c r="N50" s="15">
        <v>0.625</v>
      </c>
      <c r="O50" s="370">
        <v>5.5906389909574021E-2</v>
      </c>
      <c r="P50" s="203">
        <f t="shared" si="19"/>
        <v>156.53789174680725</v>
      </c>
      <c r="Q50" s="369"/>
    </row>
    <row r="51" spans="2:73" ht="15" customHeight="1" x14ac:dyDescent="0.25">
      <c r="B51" s="166" t="s">
        <v>101</v>
      </c>
      <c r="C51" s="167" t="s">
        <v>111</v>
      </c>
      <c r="D51" s="300">
        <f>D29*'Rate Summary TOU-M and EV-HP'!$E14*$D$10</f>
        <v>4440.0000000000009</v>
      </c>
      <c r="E51" s="300">
        <f>E29*'Rate Summary TOU-M and EV-HP'!$E14*$D$11</f>
        <v>1776.0000000000002</v>
      </c>
      <c r="F51" s="300">
        <f>F29*'Rate Summary TOU-M and EV-HP'!$E14*$D$12</f>
        <v>4440.0000000000009</v>
      </c>
      <c r="G51" s="299">
        <f t="shared" ref="G51" si="20">SUM(D51:F51)</f>
        <v>10656.000000000002</v>
      </c>
      <c r="N51" s="15">
        <v>0.66666666666666696</v>
      </c>
      <c r="O51" s="370">
        <v>5.7799347699389256E-2</v>
      </c>
      <c r="P51" s="203">
        <f t="shared" si="19"/>
        <v>161.83817355828992</v>
      </c>
      <c r="Q51" s="369"/>
    </row>
    <row r="52" spans="2:73" ht="15" customHeight="1" x14ac:dyDescent="0.25">
      <c r="B52" s="166" t="s">
        <v>105</v>
      </c>
      <c r="C52" s="167" t="s">
        <v>111</v>
      </c>
      <c r="D52" s="300" t="s">
        <v>92</v>
      </c>
      <c r="E52" s="300" t="s">
        <v>92</v>
      </c>
      <c r="F52" s="300" t="s">
        <v>92</v>
      </c>
      <c r="G52" s="300" t="s">
        <v>92</v>
      </c>
      <c r="M52" s="159"/>
      <c r="N52" s="15">
        <v>0.70833333333333304</v>
      </c>
      <c r="O52" s="370">
        <v>5.5566200466113637E-2</v>
      </c>
      <c r="P52" s="203">
        <f t="shared" si="19"/>
        <v>155.58536130511817</v>
      </c>
      <c r="Q52" s="369"/>
    </row>
    <row r="53" spans="2:73" ht="15" customHeight="1" x14ac:dyDescent="0.25">
      <c r="B53" s="166"/>
      <c r="C53" s="166"/>
      <c r="D53" s="300"/>
      <c r="E53" s="300"/>
      <c r="F53" s="300"/>
      <c r="G53" s="300"/>
      <c r="N53" s="15">
        <v>0.75</v>
      </c>
      <c r="O53" s="370">
        <v>5.5382780511112256E-2</v>
      </c>
      <c r="P53" s="203">
        <f t="shared" si="19"/>
        <v>155.07178543111431</v>
      </c>
      <c r="Q53" s="369"/>
    </row>
    <row r="54" spans="2:73" ht="15" customHeight="1" x14ac:dyDescent="0.25">
      <c r="B54" s="170" t="s">
        <v>119</v>
      </c>
      <c r="C54" s="170"/>
      <c r="D54" s="300"/>
      <c r="E54" s="300"/>
      <c r="F54" s="300"/>
      <c r="G54" s="300"/>
      <c r="N54" s="15">
        <v>0.79166666666666696</v>
      </c>
      <c r="O54" s="370">
        <v>5.4661496573506232E-2</v>
      </c>
      <c r="P54" s="203">
        <f t="shared" si="19"/>
        <v>153.05219040581744</v>
      </c>
      <c r="Q54" s="369"/>
    </row>
    <row r="55" spans="2:73" ht="15" customHeight="1" x14ac:dyDescent="0.25">
      <c r="B55" s="170" t="s">
        <v>45</v>
      </c>
      <c r="C55" s="167" t="s">
        <v>111</v>
      </c>
      <c r="D55" s="300">
        <f>K35*'Rate Summary TOU-M and EV-HP'!$E20</f>
        <v>25346.072801154696</v>
      </c>
      <c r="E55" s="300">
        <f>K40*'Rate Summary TOU-M and EV-HP'!$E24</f>
        <v>9452.1383299351255</v>
      </c>
      <c r="F55" s="300">
        <f>K45*'Rate Summary TOU-M and EV-HP'!$E24</f>
        <v>23630.345824837812</v>
      </c>
      <c r="G55" s="299">
        <f t="shared" ref="G55:G57" si="21">SUM(D55:F55)</f>
        <v>58428.556955927634</v>
      </c>
      <c r="N55" s="15">
        <v>0.83333333333333304</v>
      </c>
      <c r="O55" s="370">
        <v>5.0678912529643211E-2</v>
      </c>
      <c r="P55" s="203">
        <f t="shared" si="19"/>
        <v>141.90095508300098</v>
      </c>
      <c r="Q55" s="369"/>
    </row>
    <row r="56" spans="2:73" ht="15" customHeight="1" x14ac:dyDescent="0.25">
      <c r="B56" s="170" t="s">
        <v>46</v>
      </c>
      <c r="C56" s="167" t="s">
        <v>111</v>
      </c>
      <c r="D56" s="300">
        <f>K36*'Rate Summary TOU-M and EV-HP'!$E21</f>
        <v>40816.997619469752</v>
      </c>
      <c r="E56" s="300">
        <f>K41*'Rate Summary TOU-M and EV-HP'!$E25</f>
        <v>11820.420192582362</v>
      </c>
      <c r="F56" s="300">
        <f>K46*'Rate Summary TOU-M and EV-HP'!$E25</f>
        <v>39543.352458448215</v>
      </c>
      <c r="G56" s="299">
        <f t="shared" si="21"/>
        <v>92180.770270500332</v>
      </c>
      <c r="N56" s="15">
        <v>0.875</v>
      </c>
      <c r="O56" s="370">
        <v>4.5111397916847519E-2</v>
      </c>
      <c r="P56" s="203">
        <f t="shared" si="19"/>
        <v>126.31191416717306</v>
      </c>
      <c r="Q56" s="369"/>
    </row>
    <row r="57" spans="2:73" x14ac:dyDescent="0.25">
      <c r="B57" s="170" t="s">
        <v>48</v>
      </c>
      <c r="C57" s="167" t="s">
        <v>111</v>
      </c>
      <c r="D57" s="300">
        <f>K37*'Rate Summary TOU-M and EV-HP'!$E22</f>
        <v>17678.950321771419</v>
      </c>
      <c r="E57" s="300">
        <f>K42*'Rate Summary TOU-M and EV-HP'!$E26</f>
        <v>11731.076416104388</v>
      </c>
      <c r="F57" s="300">
        <f>K47*'Rate Summary TOU-M and EV-HP'!$E26</f>
        <v>17798.136526306011</v>
      </c>
      <c r="G57" s="299">
        <f t="shared" si="21"/>
        <v>47208.163264181814</v>
      </c>
      <c r="N57" s="15">
        <v>0.91666666666666696</v>
      </c>
      <c r="O57" s="370">
        <v>3.7870795575664674E-2</v>
      </c>
      <c r="P57" s="203">
        <f t="shared" si="19"/>
        <v>106.03822761186109</v>
      </c>
      <c r="Q57" s="369"/>
      <c r="BR57" s="1"/>
      <c r="BS57" s="109"/>
      <c r="BT57" s="156"/>
    </row>
    <row r="58" spans="2:73" x14ac:dyDescent="0.25">
      <c r="B58" s="166"/>
      <c r="C58" s="166"/>
      <c r="D58" s="301"/>
      <c r="E58" s="301"/>
      <c r="F58" s="301"/>
      <c r="G58" s="301"/>
      <c r="N58" s="15">
        <v>0.95833333333333304</v>
      </c>
      <c r="O58" s="370">
        <v>3.2111066205410481E-2</v>
      </c>
      <c r="P58" s="203">
        <f t="shared" si="19"/>
        <v>89.910985375149352</v>
      </c>
      <c r="Q58" s="369"/>
      <c r="BR58" s="1"/>
      <c r="BS58" s="109"/>
      <c r="BT58" s="156"/>
    </row>
    <row r="59" spans="2:73" ht="15.75" thickBot="1" x14ac:dyDescent="0.3">
      <c r="B59" s="170" t="s">
        <v>108</v>
      </c>
      <c r="C59" s="167" t="s">
        <v>111</v>
      </c>
      <c r="D59" s="300">
        <v>0</v>
      </c>
      <c r="E59" s="300">
        <v>0</v>
      </c>
      <c r="F59" s="300">
        <v>0</v>
      </c>
      <c r="G59" s="299">
        <f t="shared" ref="G59:G60" si="22">SUM(D59:F59)</f>
        <v>0</v>
      </c>
      <c r="N59" s="183"/>
      <c r="O59" s="371">
        <f>SUM(O35:O58)</f>
        <v>0.99999999999999978</v>
      </c>
      <c r="P59" s="204">
        <f>D5*D6*24</f>
        <v>2800</v>
      </c>
      <c r="BR59" s="1"/>
      <c r="BS59" s="109"/>
      <c r="BT59" s="156"/>
    </row>
    <row r="60" spans="2:73" ht="15.75" thickBot="1" x14ac:dyDescent="0.3">
      <c r="B60" s="171" t="s">
        <v>44</v>
      </c>
      <c r="C60" s="173" t="s">
        <v>111</v>
      </c>
      <c r="D60" s="302">
        <v>0</v>
      </c>
      <c r="E60" s="302">
        <v>0</v>
      </c>
      <c r="F60" s="302">
        <v>0</v>
      </c>
      <c r="G60" s="303">
        <f t="shared" si="22"/>
        <v>0</v>
      </c>
      <c r="Q60" s="210"/>
      <c r="BS60" s="1"/>
      <c r="BT60" s="109"/>
      <c r="BU60" s="156"/>
    </row>
    <row r="61" spans="2:73" ht="15.75" thickBot="1" x14ac:dyDescent="0.3">
      <c r="B61" s="133"/>
      <c r="C61" s="127"/>
      <c r="D61" s="304"/>
      <c r="E61" s="304"/>
      <c r="F61" s="304"/>
      <c r="G61" s="305"/>
      <c r="J61" s="10" t="s">
        <v>120</v>
      </c>
      <c r="P61" s="364"/>
      <c r="Q61" s="210"/>
      <c r="BS61" s="1"/>
      <c r="BT61" s="109"/>
      <c r="BU61" s="156"/>
    </row>
    <row r="62" spans="2:73" ht="15.75" thickBot="1" x14ac:dyDescent="0.3">
      <c r="B62" s="177" t="s">
        <v>7</v>
      </c>
      <c r="C62" s="176"/>
      <c r="D62" s="175">
        <f>SUM(D43:D60)</f>
        <v>88789.820742395867</v>
      </c>
      <c r="E62" s="175">
        <f>SUM(E43:E60)</f>
        <v>34982.754938621874</v>
      </c>
      <c r="F62" s="175">
        <f>SUM(F43:F60)</f>
        <v>85919.63480959204</v>
      </c>
      <c r="G62" s="175">
        <f t="shared" ref="G62" si="23">SUM(G43:G60)</f>
        <v>209692.21049060978</v>
      </c>
      <c r="J62" s="397" t="s">
        <v>139</v>
      </c>
      <c r="Q62" s="210"/>
      <c r="BS62" s="1"/>
      <c r="BT62" s="109"/>
      <c r="BU62" s="156"/>
    </row>
    <row r="63" spans="2:73" x14ac:dyDescent="0.25">
      <c r="B63" s="189" t="s">
        <v>127</v>
      </c>
      <c r="C63" s="190"/>
      <c r="D63" s="191">
        <f>D62/5</f>
        <v>17757.964148479172</v>
      </c>
      <c r="E63" s="191">
        <f>E62/2</f>
        <v>17491.377469310937</v>
      </c>
      <c r="F63" s="191">
        <f>F62/5</f>
        <v>17183.926961918409</v>
      </c>
      <c r="G63" s="192">
        <f>G62/12</f>
        <v>17474.350874217482</v>
      </c>
      <c r="J63" s="10" t="s">
        <v>158</v>
      </c>
      <c r="BS63" s="1"/>
      <c r="BT63" s="109"/>
      <c r="BU63" s="156"/>
    </row>
    <row r="64" spans="2:73" ht="15.75" thickBot="1" x14ac:dyDescent="0.3">
      <c r="B64" s="193" t="s">
        <v>9</v>
      </c>
      <c r="C64" s="194"/>
      <c r="D64" s="174">
        <f>D62/(D33+D34+D35)</f>
        <v>0.20850838530503921</v>
      </c>
      <c r="E64" s="174">
        <f t="shared" ref="E64:G64" si="24">E62/(E33+E34+E35)</f>
        <v>0.19936565315890606</v>
      </c>
      <c r="F64" s="174">
        <f t="shared" si="24"/>
        <v>0.20176822264483452</v>
      </c>
      <c r="G64" s="174">
        <f t="shared" si="24"/>
        <v>0.20415213669768989</v>
      </c>
      <c r="J64" s="230" t="s">
        <v>123</v>
      </c>
      <c r="BS64" s="1"/>
      <c r="BT64" s="109"/>
      <c r="BU64" s="156"/>
    </row>
    <row r="65" spans="2:73" ht="15.75" thickBot="1" x14ac:dyDescent="0.3">
      <c r="H65" s="197"/>
      <c r="J65" s="230" t="s">
        <v>124</v>
      </c>
      <c r="BS65" s="1"/>
      <c r="BT65" s="109"/>
      <c r="BU65" s="156"/>
    </row>
    <row r="66" spans="2:73" ht="15.75" thickBot="1" x14ac:dyDescent="0.3">
      <c r="B66" s="93" t="s">
        <v>2</v>
      </c>
      <c r="C66" s="116"/>
      <c r="D66" s="116"/>
      <c r="E66" s="116"/>
      <c r="F66" s="116"/>
      <c r="G66" s="185"/>
      <c r="BS66" s="1"/>
      <c r="BT66" s="109"/>
      <c r="BU66" s="156"/>
    </row>
    <row r="67" spans="2:73" ht="29.45" customHeight="1" x14ac:dyDescent="0.25">
      <c r="B67" s="105" t="s">
        <v>88</v>
      </c>
      <c r="C67" s="106" t="s">
        <v>20</v>
      </c>
      <c r="D67" s="105" t="s">
        <v>3</v>
      </c>
      <c r="E67" s="107" t="s">
        <v>4</v>
      </c>
      <c r="F67" s="107" t="s">
        <v>5</v>
      </c>
      <c r="G67" s="105" t="s">
        <v>6</v>
      </c>
      <c r="BS67" s="1"/>
      <c r="BT67" s="109"/>
      <c r="BU67" s="156"/>
    </row>
    <row r="68" spans="2:73" x14ac:dyDescent="0.25">
      <c r="B68" s="314"/>
      <c r="C68" s="315"/>
      <c r="D68" s="314"/>
      <c r="E68" s="316"/>
      <c r="F68" s="316"/>
      <c r="G68" s="314"/>
    </row>
    <row r="69" spans="2:73" x14ac:dyDescent="0.25">
      <c r="B69" s="149" t="s">
        <v>89</v>
      </c>
      <c r="C69" s="317" t="s">
        <v>111</v>
      </c>
      <c r="D69" s="320">
        <f>'Rate Summary TOU-M and EV-HP'!$I$7*$D$10</f>
        <v>931.52</v>
      </c>
      <c r="E69" s="320">
        <f>'Rate Summary TOU-M and EV-HP'!$I$7*$D$11</f>
        <v>372.608</v>
      </c>
      <c r="F69" s="320">
        <f>'Rate Summary TOU-M and EV-HP'!$I$7*$D$12</f>
        <v>931.52</v>
      </c>
      <c r="G69" s="320">
        <f>SUM(D69:F69)</f>
        <v>2235.6480000000001</v>
      </c>
    </row>
    <row r="70" spans="2:73" x14ac:dyDescent="0.25">
      <c r="B70" s="149" t="s">
        <v>27</v>
      </c>
      <c r="C70" s="317" t="s">
        <v>111</v>
      </c>
      <c r="D70" s="318" t="s">
        <v>92</v>
      </c>
      <c r="E70" s="319" t="s">
        <v>92</v>
      </c>
      <c r="F70" s="319" t="s">
        <v>92</v>
      </c>
      <c r="G70" s="318" t="s">
        <v>92</v>
      </c>
    </row>
    <row r="71" spans="2:73" x14ac:dyDescent="0.25">
      <c r="B71" s="150"/>
      <c r="C71" s="96"/>
      <c r="D71" s="178"/>
      <c r="E71" s="178"/>
      <c r="F71" s="178"/>
      <c r="G71" s="179"/>
    </row>
    <row r="72" spans="2:73" x14ac:dyDescent="0.25">
      <c r="B72" s="150" t="s">
        <v>130</v>
      </c>
      <c r="C72" s="96" t="s">
        <v>111</v>
      </c>
      <c r="D72" s="282">
        <f>(D24*'Rate Summary TOU-M and EV-HP'!$I$10+D25*'Rate Summary TOU-M and EV-HP'!$I$11)*$D$10</f>
        <v>17670.75</v>
      </c>
      <c r="E72" s="282">
        <f>(E24*'Rate Summary TOU-M and EV-HP'!$I$10+E25*'Rate Summary TOU-M and EV-HP'!$I$11)*$D$11</f>
        <v>7068.2999999999993</v>
      </c>
      <c r="F72" s="282">
        <f>(F24*'Rate Summary TOU-M and EV-HP'!$I$10+F25*'Rate Summary TOU-M and EV-HP'!$I$11)*$D$12</f>
        <v>17670.75</v>
      </c>
      <c r="G72" s="283">
        <f>SUM(D72:F72)</f>
        <v>42409.8</v>
      </c>
    </row>
    <row r="73" spans="2:73" x14ac:dyDescent="0.25">
      <c r="B73" s="150"/>
      <c r="C73" s="96"/>
      <c r="D73" s="283"/>
      <c r="E73" s="283"/>
      <c r="F73" s="283"/>
      <c r="G73" s="283"/>
    </row>
    <row r="74" spans="2:73" x14ac:dyDescent="0.25">
      <c r="B74" s="150" t="s">
        <v>118</v>
      </c>
      <c r="C74" s="96"/>
      <c r="D74" s="283"/>
      <c r="E74" s="283"/>
      <c r="F74" s="283"/>
      <c r="G74" s="283"/>
      <c r="AV74" s="156"/>
      <c r="AW74" s="156"/>
      <c r="AX74" s="156"/>
      <c r="AY74" s="156"/>
    </row>
    <row r="75" spans="2:73" x14ac:dyDescent="0.25">
      <c r="B75" s="149" t="s">
        <v>80</v>
      </c>
      <c r="C75" s="96" t="s">
        <v>111</v>
      </c>
      <c r="D75" s="282" t="s">
        <v>92</v>
      </c>
      <c r="E75" s="282" t="s">
        <v>92</v>
      </c>
      <c r="F75" s="282" t="s">
        <v>92</v>
      </c>
      <c r="G75" s="282" t="s">
        <v>92</v>
      </c>
    </row>
    <row r="76" spans="2:73" x14ac:dyDescent="0.25">
      <c r="B76" s="149" t="s">
        <v>101</v>
      </c>
      <c r="C76" s="96" t="s">
        <v>111</v>
      </c>
      <c r="D76" s="282" t="s">
        <v>92</v>
      </c>
      <c r="E76" s="282" t="s">
        <v>92</v>
      </c>
      <c r="F76" s="282" t="s">
        <v>92</v>
      </c>
      <c r="G76" s="282" t="s">
        <v>92</v>
      </c>
    </row>
    <row r="77" spans="2:73" x14ac:dyDescent="0.25">
      <c r="B77" s="149" t="s">
        <v>105</v>
      </c>
      <c r="C77" s="96" t="s">
        <v>111</v>
      </c>
      <c r="D77" s="282" t="s">
        <v>92</v>
      </c>
      <c r="E77" s="282" t="s">
        <v>92</v>
      </c>
      <c r="F77" s="282" t="s">
        <v>92</v>
      </c>
      <c r="G77" s="282" t="s">
        <v>92</v>
      </c>
    </row>
    <row r="78" spans="2:73" x14ac:dyDescent="0.25">
      <c r="B78" s="149"/>
      <c r="C78" s="149"/>
      <c r="D78" s="282"/>
      <c r="E78" s="282"/>
      <c r="F78" s="282"/>
      <c r="G78" s="282"/>
    </row>
    <row r="79" spans="2:73" x14ac:dyDescent="0.25">
      <c r="B79" s="100" t="s">
        <v>119</v>
      </c>
      <c r="C79" s="100"/>
      <c r="D79" s="282"/>
      <c r="E79" s="282"/>
      <c r="F79" s="282"/>
      <c r="G79" s="282"/>
    </row>
    <row r="80" spans="2:73" x14ac:dyDescent="0.25">
      <c r="B80" s="100" t="s">
        <v>45</v>
      </c>
      <c r="C80" s="96" t="s">
        <v>111</v>
      </c>
      <c r="D80" s="282">
        <f>D33*'Rate Summary TOU-M and EV-HP'!$I17</f>
        <v>45927.793549706999</v>
      </c>
      <c r="E80" s="282">
        <f>E33*'Rate Summary TOU-M and EV-HP'!$I21</f>
        <v>17446.258878363416</v>
      </c>
      <c r="F80" s="282">
        <f>F33*'Rate Summary TOU-M and EV-HP'!$I21</f>
        <v>43615.647195908532</v>
      </c>
      <c r="G80" s="283">
        <f>SUM(D80:F80)</f>
        <v>106989.69962397894</v>
      </c>
    </row>
    <row r="81" spans="2:56" x14ac:dyDescent="0.25">
      <c r="B81" s="100" t="s">
        <v>46</v>
      </c>
      <c r="C81" s="96" t="s">
        <v>111</v>
      </c>
      <c r="D81" s="282">
        <f>D34*'Rate Summary TOU-M and EV-HP'!$I18</f>
        <v>33572.620486273692</v>
      </c>
      <c r="E81" s="282">
        <f>E34*'Rate Summary TOU-M and EV-HP'!$I22</f>
        <v>9654.9087621113758</v>
      </c>
      <c r="F81" s="282">
        <f>F34*'Rate Summary TOU-M and EV-HP'!$I22</f>
        <v>32298.975325252155</v>
      </c>
      <c r="G81" s="283">
        <f t="shared" ref="G81:G82" si="25">SUM(D81:F81)</f>
        <v>75526.504573637212</v>
      </c>
    </row>
    <row r="82" spans="2:56" x14ac:dyDescent="0.25">
      <c r="B82" s="100" t="s">
        <v>48</v>
      </c>
      <c r="C82" s="96" t="s">
        <v>111</v>
      </c>
      <c r="D82" s="282">
        <f>D35*'Rate Summary TOU-M and EV-HP'!$I19</f>
        <v>11132.799545595872</v>
      </c>
      <c r="E82" s="282">
        <f>E35*'Rate Summary TOU-M and EV-HP'!$I23</f>
        <v>7416.3890400886939</v>
      </c>
      <c r="F82" s="282">
        <f>F35*'Rate Summary TOU-M and EV-HP'!$I23</f>
        <v>11251.985750130467</v>
      </c>
      <c r="G82" s="283">
        <f t="shared" si="25"/>
        <v>29801.174335815034</v>
      </c>
    </row>
    <row r="83" spans="2:56" x14ac:dyDescent="0.25">
      <c r="B83" s="149"/>
      <c r="C83" s="149"/>
      <c r="D83" s="149"/>
      <c r="E83" s="149"/>
      <c r="F83" s="149"/>
      <c r="G83" s="149"/>
    </row>
    <row r="84" spans="2:56" x14ac:dyDescent="0.25">
      <c r="B84" s="100" t="s">
        <v>108</v>
      </c>
      <c r="C84" s="96" t="s">
        <v>111</v>
      </c>
      <c r="D84" s="178">
        <v>0</v>
      </c>
      <c r="E84" s="178">
        <v>0</v>
      </c>
      <c r="F84" s="178">
        <v>0</v>
      </c>
      <c r="G84" s="179">
        <f t="shared" ref="G84:G85" si="26">SUM(D84:F84)</f>
        <v>0</v>
      </c>
    </row>
    <row r="85" spans="2:56" ht="15.75" thickBot="1" x14ac:dyDescent="0.3">
      <c r="B85" s="102" t="s">
        <v>44</v>
      </c>
      <c r="C85" s="180" t="s">
        <v>111</v>
      </c>
      <c r="D85" s="181">
        <v>0</v>
      </c>
      <c r="E85" s="181">
        <v>0</v>
      </c>
      <c r="F85" s="181">
        <v>0</v>
      </c>
      <c r="G85" s="182">
        <f t="shared" si="26"/>
        <v>0</v>
      </c>
    </row>
    <row r="86" spans="2:56" ht="15.75" thickBot="1" x14ac:dyDescent="0.3">
      <c r="AP86" s="160"/>
    </row>
    <row r="87" spans="2:56" ht="15.75" thickBot="1" x14ac:dyDescent="0.3">
      <c r="B87" s="266" t="s">
        <v>7</v>
      </c>
      <c r="C87" s="190"/>
      <c r="D87" s="279">
        <f>SUM(D69:D85)</f>
        <v>109235.48358157657</v>
      </c>
      <c r="E87" s="279">
        <f>SUM(E69:E85)</f>
        <v>41958.464680563491</v>
      </c>
      <c r="F87" s="279">
        <f>SUM(F69:F85)</f>
        <v>105768.87827129115</v>
      </c>
      <c r="G87" s="279">
        <f>SUM(G69:G85)</f>
        <v>256962.82653343122</v>
      </c>
    </row>
    <row r="88" spans="2:56" x14ac:dyDescent="0.25">
      <c r="B88" s="189" t="s">
        <v>8</v>
      </c>
      <c r="C88" s="190"/>
      <c r="D88" s="279">
        <f>D87/5</f>
        <v>21847.096716315315</v>
      </c>
      <c r="E88" s="290">
        <f>E87/2</f>
        <v>20979.232340281746</v>
      </c>
      <c r="F88" s="279">
        <f>F87/5</f>
        <v>21153.775654258228</v>
      </c>
      <c r="G88" s="291">
        <f>G87/12</f>
        <v>21413.568877785936</v>
      </c>
    </row>
    <row r="89" spans="2:56" x14ac:dyDescent="0.25">
      <c r="B89" s="273" t="s">
        <v>9</v>
      </c>
      <c r="C89" s="268"/>
      <c r="D89" s="172">
        <f>D87/(D33+D34+D35)</f>
        <v>0.25652168355751837</v>
      </c>
      <c r="E89" s="269">
        <f>E87/(E33+E34+E35)</f>
        <v>0.23912001016678558</v>
      </c>
      <c r="F89" s="172">
        <f>F87/(F33+F34+F35)</f>
        <v>0.24838092744725904</v>
      </c>
      <c r="G89" s="274">
        <f>G87/(G33+G34+G35)</f>
        <v>0.25017386180411794</v>
      </c>
    </row>
    <row r="90" spans="2:56" ht="15.75" thickBot="1" x14ac:dyDescent="0.3">
      <c r="B90" s="157" t="s">
        <v>131</v>
      </c>
      <c r="C90" s="158"/>
      <c r="D90" s="286">
        <f>(D64-D89)/D64</f>
        <v>-0.23027034707615079</v>
      </c>
      <c r="E90" s="195">
        <f>(E64-E89)/E64</f>
        <v>-0.19940424229540168</v>
      </c>
      <c r="F90" s="286">
        <f>(F64-F89)/F64</f>
        <v>-0.23102104083295227</v>
      </c>
      <c r="G90" s="196">
        <f>(G64-G89)/G64</f>
        <v>-0.22542857425282492</v>
      </c>
    </row>
    <row r="92" spans="2:56" ht="15.75" thickBot="1" x14ac:dyDescent="0.3">
      <c r="H92" s="197"/>
    </row>
    <row r="93" spans="2:56" ht="15.75" thickBot="1" x14ac:dyDescent="0.3">
      <c r="B93" s="93" t="s">
        <v>2</v>
      </c>
      <c r="C93" s="198" t="s">
        <v>11</v>
      </c>
      <c r="D93" s="199">
        <f>$D$13</f>
        <v>0.5</v>
      </c>
      <c r="E93" s="116"/>
      <c r="F93" s="116"/>
      <c r="G93" s="185"/>
      <c r="H93" s="197"/>
    </row>
    <row r="94" spans="2:56" x14ac:dyDescent="0.25">
      <c r="B94" s="105" t="s">
        <v>88</v>
      </c>
      <c r="C94" s="106" t="s">
        <v>20</v>
      </c>
      <c r="D94" s="105" t="s">
        <v>3</v>
      </c>
      <c r="E94" s="107" t="s">
        <v>4</v>
      </c>
      <c r="F94" s="107" t="s">
        <v>5</v>
      </c>
      <c r="G94" s="105" t="s">
        <v>6</v>
      </c>
    </row>
    <row r="95" spans="2:56" x14ac:dyDescent="0.25">
      <c r="B95" s="314"/>
      <c r="C95" s="315"/>
      <c r="D95" s="314"/>
      <c r="E95" s="316"/>
      <c r="F95" s="316"/>
      <c r="G95" s="314"/>
      <c r="BB95" s="1"/>
      <c r="BC95" s="1"/>
      <c r="BD95" s="13"/>
    </row>
    <row r="96" spans="2:56" x14ac:dyDescent="0.25">
      <c r="B96" s="149" t="s">
        <v>89</v>
      </c>
      <c r="C96" s="317" t="s">
        <v>111</v>
      </c>
      <c r="D96" s="321">
        <f>D69</f>
        <v>931.52</v>
      </c>
      <c r="E96" s="321">
        <f t="shared" ref="E96:G96" si="27">E69</f>
        <v>372.608</v>
      </c>
      <c r="F96" s="321">
        <f t="shared" si="27"/>
        <v>931.52</v>
      </c>
      <c r="G96" s="321">
        <f t="shared" si="27"/>
        <v>2235.6480000000001</v>
      </c>
    </row>
    <row r="97" spans="2:45" x14ac:dyDescent="0.25">
      <c r="B97" s="149" t="s">
        <v>27</v>
      </c>
      <c r="C97" s="317" t="s">
        <v>111</v>
      </c>
      <c r="D97" s="318" t="s">
        <v>92</v>
      </c>
      <c r="E97" s="319" t="s">
        <v>92</v>
      </c>
      <c r="F97" s="319" t="s">
        <v>92</v>
      </c>
      <c r="G97" s="318" t="s">
        <v>92</v>
      </c>
    </row>
    <row r="98" spans="2:45" x14ac:dyDescent="0.25">
      <c r="B98" s="150"/>
      <c r="C98" s="96"/>
      <c r="D98" s="178"/>
      <c r="E98" s="178"/>
      <c r="F98" s="178"/>
      <c r="G98" s="179"/>
    </row>
    <row r="99" spans="2:45" x14ac:dyDescent="0.25">
      <c r="B99" s="150" t="s">
        <v>130</v>
      </c>
      <c r="C99" s="96" t="s">
        <v>111</v>
      </c>
      <c r="D99" s="282">
        <f>D72*(1-$D$93)</f>
        <v>8835.375</v>
      </c>
      <c r="E99" s="282">
        <f>E72*(1-$D$93)</f>
        <v>3534.1499999999996</v>
      </c>
      <c r="F99" s="282">
        <f>F72*(1-$D$93)</f>
        <v>8835.375</v>
      </c>
      <c r="G99" s="282">
        <f>G72*(1-$D$93)</f>
        <v>21204.9</v>
      </c>
    </row>
    <row r="100" spans="2:45" x14ac:dyDescent="0.25">
      <c r="B100" s="150"/>
      <c r="C100" s="96"/>
      <c r="D100" s="283"/>
      <c r="E100" s="283"/>
      <c r="F100" s="283"/>
      <c r="G100" s="283"/>
      <c r="O100" s="208"/>
      <c r="P100" s="208"/>
      <c r="Q100" s="208"/>
    </row>
    <row r="101" spans="2:45" x14ac:dyDescent="0.25">
      <c r="B101" s="150" t="s">
        <v>118</v>
      </c>
      <c r="C101" s="96"/>
      <c r="D101" s="283"/>
      <c r="E101" s="283"/>
      <c r="F101" s="283"/>
      <c r="G101" s="283"/>
      <c r="O101" s="197"/>
      <c r="AS101" s="159"/>
    </row>
    <row r="102" spans="2:45" x14ac:dyDescent="0.25">
      <c r="B102" s="149" t="s">
        <v>80</v>
      </c>
      <c r="C102" s="96" t="s">
        <v>111</v>
      </c>
      <c r="D102" s="282" t="str">
        <f t="shared" ref="D102:G104" si="28">D75</f>
        <v>NA</v>
      </c>
      <c r="E102" s="282" t="str">
        <f t="shared" si="28"/>
        <v>NA</v>
      </c>
      <c r="F102" s="282" t="str">
        <f t="shared" si="28"/>
        <v>NA</v>
      </c>
      <c r="G102" s="283" t="str">
        <f t="shared" si="28"/>
        <v>NA</v>
      </c>
      <c r="O102" s="197"/>
      <c r="P102" s="197"/>
      <c r="Q102" s="207"/>
      <c r="AS102" s="108"/>
    </row>
    <row r="103" spans="2:45" x14ac:dyDescent="0.25">
      <c r="B103" s="149" t="s">
        <v>101</v>
      </c>
      <c r="C103" s="96" t="s">
        <v>111</v>
      </c>
      <c r="D103" s="282" t="str">
        <f t="shared" si="28"/>
        <v>NA</v>
      </c>
      <c r="E103" s="282" t="str">
        <f t="shared" si="28"/>
        <v>NA</v>
      </c>
      <c r="F103" s="282" t="str">
        <f t="shared" si="28"/>
        <v>NA</v>
      </c>
      <c r="G103" s="283" t="str">
        <f t="shared" si="28"/>
        <v>NA</v>
      </c>
      <c r="O103" s="197"/>
      <c r="P103" s="197"/>
      <c r="Q103" s="206"/>
    </row>
    <row r="104" spans="2:45" x14ac:dyDescent="0.25">
      <c r="B104" s="149" t="s">
        <v>105</v>
      </c>
      <c r="C104" s="96" t="s">
        <v>111</v>
      </c>
      <c r="D104" s="282" t="str">
        <f t="shared" si="28"/>
        <v>NA</v>
      </c>
      <c r="E104" s="282" t="str">
        <f t="shared" si="28"/>
        <v>NA</v>
      </c>
      <c r="F104" s="282" t="str">
        <f t="shared" si="28"/>
        <v>NA</v>
      </c>
      <c r="G104" s="283" t="str">
        <f t="shared" si="28"/>
        <v>NA</v>
      </c>
    </row>
    <row r="105" spans="2:45" x14ac:dyDescent="0.25">
      <c r="B105" s="149"/>
      <c r="C105" s="149"/>
      <c r="D105" s="282"/>
      <c r="E105" s="282"/>
      <c r="F105" s="282"/>
      <c r="G105" s="282"/>
    </row>
    <row r="106" spans="2:45" x14ac:dyDescent="0.25">
      <c r="B106" s="100" t="s">
        <v>119</v>
      </c>
      <c r="C106" s="100"/>
      <c r="D106" s="282"/>
      <c r="E106" s="282"/>
      <c r="F106" s="282"/>
      <c r="G106" s="282"/>
    </row>
    <row r="107" spans="2:45" x14ac:dyDescent="0.25">
      <c r="B107" s="100" t="s">
        <v>45</v>
      </c>
      <c r="C107" s="96" t="s">
        <v>111</v>
      </c>
      <c r="D107" s="282">
        <f t="shared" ref="D107:G109" si="29">D80</f>
        <v>45927.793549706999</v>
      </c>
      <c r="E107" s="282">
        <f t="shared" si="29"/>
        <v>17446.258878363416</v>
      </c>
      <c r="F107" s="282">
        <f t="shared" si="29"/>
        <v>43615.647195908532</v>
      </c>
      <c r="G107" s="283">
        <f t="shared" si="29"/>
        <v>106989.69962397894</v>
      </c>
    </row>
    <row r="108" spans="2:45" x14ac:dyDescent="0.25">
      <c r="B108" s="100" t="s">
        <v>46</v>
      </c>
      <c r="C108" s="96" t="s">
        <v>111</v>
      </c>
      <c r="D108" s="282">
        <f t="shared" si="29"/>
        <v>33572.620486273692</v>
      </c>
      <c r="E108" s="282">
        <f t="shared" si="29"/>
        <v>9654.9087621113758</v>
      </c>
      <c r="F108" s="282">
        <f t="shared" si="29"/>
        <v>32298.975325252155</v>
      </c>
      <c r="G108" s="283">
        <f t="shared" si="29"/>
        <v>75526.504573637212</v>
      </c>
    </row>
    <row r="109" spans="2:45" x14ac:dyDescent="0.25">
      <c r="B109" s="100" t="s">
        <v>48</v>
      </c>
      <c r="C109" s="96" t="s">
        <v>111</v>
      </c>
      <c r="D109" s="282">
        <f t="shared" si="29"/>
        <v>11132.799545595872</v>
      </c>
      <c r="E109" s="282">
        <f t="shared" si="29"/>
        <v>7416.3890400886939</v>
      </c>
      <c r="F109" s="282">
        <f t="shared" si="29"/>
        <v>11251.985750130467</v>
      </c>
      <c r="G109" s="283">
        <f t="shared" si="29"/>
        <v>29801.174335815034</v>
      </c>
    </row>
    <row r="110" spans="2:45" x14ac:dyDescent="0.25">
      <c r="B110" s="149"/>
      <c r="C110" s="149"/>
      <c r="D110" s="293"/>
      <c r="E110" s="293"/>
      <c r="F110" s="293"/>
      <c r="G110" s="293"/>
    </row>
    <row r="111" spans="2:45" x14ac:dyDescent="0.25">
      <c r="B111" s="100" t="s">
        <v>108</v>
      </c>
      <c r="C111" s="96" t="s">
        <v>111</v>
      </c>
      <c r="D111" s="282">
        <f t="shared" ref="D111:G112" si="30">D84</f>
        <v>0</v>
      </c>
      <c r="E111" s="282">
        <f t="shared" si="30"/>
        <v>0</v>
      </c>
      <c r="F111" s="282">
        <f t="shared" si="30"/>
        <v>0</v>
      </c>
      <c r="G111" s="283">
        <f t="shared" si="30"/>
        <v>0</v>
      </c>
    </row>
    <row r="112" spans="2:45" ht="15.75" thickBot="1" x14ac:dyDescent="0.3">
      <c r="B112" s="102" t="s">
        <v>44</v>
      </c>
      <c r="C112" s="180" t="s">
        <v>111</v>
      </c>
      <c r="D112" s="294">
        <f t="shared" si="30"/>
        <v>0</v>
      </c>
      <c r="E112" s="294">
        <f t="shared" si="30"/>
        <v>0</v>
      </c>
      <c r="F112" s="294">
        <f t="shared" si="30"/>
        <v>0</v>
      </c>
      <c r="G112" s="295">
        <f t="shared" si="30"/>
        <v>0</v>
      </c>
    </row>
    <row r="113" spans="2:13" ht="15.75" thickBot="1" x14ac:dyDescent="0.3"/>
    <row r="114" spans="2:13" ht="15.75" thickBot="1" x14ac:dyDescent="0.3">
      <c r="B114" s="266" t="s">
        <v>7</v>
      </c>
      <c r="C114" s="190"/>
      <c r="D114" s="279">
        <f>SUM(D96:D112)</f>
        <v>100400.10858157657</v>
      </c>
      <c r="E114" s="279">
        <f t="shared" ref="E114" si="31">SUM(E96:E112)</f>
        <v>38424.314680563482</v>
      </c>
      <c r="F114" s="279">
        <f>SUM(F96:F112)</f>
        <v>96933.503271291149</v>
      </c>
      <c r="G114" s="279">
        <f>SUM(G96:G112)</f>
        <v>235757.92653343119</v>
      </c>
    </row>
    <row r="115" spans="2:13" x14ac:dyDescent="0.25">
      <c r="B115" s="189" t="s">
        <v>8</v>
      </c>
      <c r="C115" s="190"/>
      <c r="D115" s="279">
        <f>D114/5</f>
        <v>20080.021716315314</v>
      </c>
      <c r="E115" s="290">
        <f>E114/2</f>
        <v>19212.157340281741</v>
      </c>
      <c r="F115" s="279">
        <f>F114/5</f>
        <v>19386.700654258231</v>
      </c>
      <c r="G115" s="291">
        <f>G114/12</f>
        <v>19646.493877785932</v>
      </c>
      <c r="J115" s="10" t="s">
        <v>133</v>
      </c>
    </row>
    <row r="116" spans="2:13" x14ac:dyDescent="0.25">
      <c r="B116" s="273" t="s">
        <v>9</v>
      </c>
      <c r="C116" s="268"/>
      <c r="D116" s="172">
        <f>D114/(D33+D34+D35)</f>
        <v>0.23577324911524827</v>
      </c>
      <c r="E116" s="269">
        <f>E114/(E33+E34+E35)</f>
        <v>0.21897899713485691</v>
      </c>
      <c r="F116" s="172">
        <f>F114/(F33+F34+F35)</f>
        <v>0.22763249300498897</v>
      </c>
      <c r="G116" s="274">
        <f>G114/(G33+G34+G35)</f>
        <v>0.22952919582757847</v>
      </c>
      <c r="K116" s="385" t="s">
        <v>134</v>
      </c>
      <c r="L116" s="385" t="s">
        <v>135</v>
      </c>
      <c r="M116" s="385" t="s">
        <v>136</v>
      </c>
    </row>
    <row r="117" spans="2:13" ht="15.75" thickBot="1" x14ac:dyDescent="0.3">
      <c r="B117" s="157" t="s">
        <v>131</v>
      </c>
      <c r="C117" s="158"/>
      <c r="D117" s="286">
        <f>(D64-D116)/D64</f>
        <v>-0.13076147403051291</v>
      </c>
      <c r="E117" s="195">
        <f>(E64-E116)/E64</f>
        <v>-9.8378751129804057E-2</v>
      </c>
      <c r="F117" s="286">
        <f>(F64-F116)/F64</f>
        <v>-0.1281880269406071</v>
      </c>
      <c r="G117" s="196">
        <f>(G64-G116)/G64</f>
        <v>-0.12430464623285883</v>
      </c>
      <c r="J117" s="10" t="s">
        <v>23</v>
      </c>
      <c r="K117" s="197">
        <f>D43/5</f>
        <v>101.56</v>
      </c>
      <c r="L117" s="197">
        <f>D69/5</f>
        <v>186.304</v>
      </c>
      <c r="M117" s="197">
        <f>D96/5</f>
        <v>186.304</v>
      </c>
    </row>
    <row r="118" spans="2:13" x14ac:dyDescent="0.25">
      <c r="J118" s="10" t="s">
        <v>32</v>
      </c>
      <c r="K118" s="197">
        <f>(D50+D51)/5</f>
        <v>888.00000000000023</v>
      </c>
      <c r="L118" s="197">
        <v>0</v>
      </c>
      <c r="M118" s="197">
        <f t="shared" ref="M118" si="32">L118</f>
        <v>0</v>
      </c>
    </row>
    <row r="119" spans="2:13" x14ac:dyDescent="0.25">
      <c r="J119" s="10" t="s">
        <v>132</v>
      </c>
      <c r="K119" s="197">
        <v>0</v>
      </c>
      <c r="L119" s="197">
        <f>(D72)/5</f>
        <v>3534.15</v>
      </c>
      <c r="M119" s="197">
        <f>D99/5</f>
        <v>1767.075</v>
      </c>
    </row>
    <row r="120" spans="2:13" x14ac:dyDescent="0.25">
      <c r="J120" s="10" t="s">
        <v>138</v>
      </c>
      <c r="K120" s="197">
        <f>(D55+D56+D57)/5</f>
        <v>16768.404148479174</v>
      </c>
      <c r="L120" s="197">
        <f>(D80+D81+D82)/5</f>
        <v>18126.642716315313</v>
      </c>
      <c r="M120" s="197">
        <f>SUM(D107:D109)/5</f>
        <v>18126.642716315313</v>
      </c>
    </row>
    <row r="121" spans="2:13" x14ac:dyDescent="0.25">
      <c r="H121" s="197"/>
      <c r="J121" s="10" t="s">
        <v>159</v>
      </c>
      <c r="K121" s="205">
        <f>SUM(K117:K120)</f>
        <v>17757.964148479175</v>
      </c>
      <c r="L121" s="205">
        <f>SUM(L117:L120)</f>
        <v>21847.096716315315</v>
      </c>
      <c r="M121" s="205">
        <f>SUM(M117:M120)</f>
        <v>20080.021716315314</v>
      </c>
    </row>
  </sheetData>
  <dataConsolidate/>
  <conditionalFormatting sqref="K3:AE3 K4:P4 U4:AE4">
    <cfRule type="cellIs" dxfId="67" priority="54" operator="equal">
      <formula>"SOP"</formula>
    </cfRule>
    <cfRule type="cellIs" dxfId="66" priority="55" operator="equal">
      <formula>"Peak"</formula>
    </cfRule>
    <cfRule type="cellIs" dxfId="65" priority="56" operator="equal">
      <formula>"Partial"</formula>
    </cfRule>
    <cfRule type="cellIs" dxfId="64" priority="57" operator="equal">
      <formula>"Off"</formula>
    </cfRule>
  </conditionalFormatting>
  <conditionalFormatting sqref="K5:P5 AA5:AE5">
    <cfRule type="cellIs" dxfId="63" priority="50" operator="equal">
      <formula>"SOP"</formula>
    </cfRule>
    <cfRule type="cellIs" dxfId="62" priority="51" operator="equal">
      <formula>"Peak"</formula>
    </cfRule>
    <cfRule type="cellIs" dxfId="61" priority="52" operator="equal">
      <formula>"Partial"</formula>
    </cfRule>
    <cfRule type="cellIs" dxfId="60" priority="53" operator="equal">
      <formula>"Off"</formula>
    </cfRule>
  </conditionalFormatting>
  <conditionalFormatting sqref="Q5:Z5">
    <cfRule type="cellIs" dxfId="59" priority="37" operator="equal">
      <formula>"SOP"</formula>
    </cfRule>
    <cfRule type="cellIs" dxfId="58" priority="38" operator="equal">
      <formula>"Peak"</formula>
    </cfRule>
    <cfRule type="cellIs" dxfId="57" priority="39" operator="equal">
      <formula>"Partial"</formula>
    </cfRule>
    <cfRule type="cellIs" dxfId="56" priority="40" operator="equal">
      <formula>"Off"</formula>
    </cfRule>
  </conditionalFormatting>
  <conditionalFormatting sqref="AF3:AH4">
    <cfRule type="cellIs" dxfId="55" priority="29" operator="equal">
      <formula>"SOP"</formula>
    </cfRule>
    <cfRule type="cellIs" dxfId="54" priority="30" operator="equal">
      <formula>"Peak"</formula>
    </cfRule>
    <cfRule type="cellIs" dxfId="53" priority="31" operator="equal">
      <formula>"Partial"</formula>
    </cfRule>
    <cfRule type="cellIs" dxfId="52" priority="32" operator="equal">
      <formula>"Off"</formula>
    </cfRule>
  </conditionalFormatting>
  <conditionalFormatting sqref="AF5:AH5">
    <cfRule type="cellIs" dxfId="51" priority="25" operator="equal">
      <formula>"SOP"</formula>
    </cfRule>
    <cfRule type="cellIs" dxfId="50" priority="26" operator="equal">
      <formula>"Peak"</formula>
    </cfRule>
    <cfRule type="cellIs" dxfId="49" priority="27" operator="equal">
      <formula>"Partial"</formula>
    </cfRule>
    <cfRule type="cellIs" dxfId="48" priority="28" operator="equal">
      <formula>"Off"</formula>
    </cfRule>
  </conditionalFormatting>
  <conditionalFormatting sqref="Q4:T4">
    <cfRule type="cellIs" dxfId="47" priority="33" operator="equal">
      <formula>"SOP"</formula>
    </cfRule>
    <cfRule type="cellIs" dxfId="46" priority="34" operator="equal">
      <formula>"Peak"</formula>
    </cfRule>
    <cfRule type="cellIs" dxfId="45" priority="35" operator="equal">
      <formula>"Partial"</formula>
    </cfRule>
    <cfRule type="cellIs" dxfId="44" priority="36" operator="equal">
      <formula>"Off"</formula>
    </cfRule>
  </conditionalFormatting>
  <conditionalFormatting sqref="K10:AE11">
    <cfRule type="cellIs" dxfId="43" priority="21" operator="equal">
      <formula>"SOP"</formula>
    </cfRule>
    <cfRule type="cellIs" dxfId="42" priority="22" operator="equal">
      <formula>"Peak"</formula>
    </cfRule>
    <cfRule type="cellIs" dxfId="41" priority="23" operator="equal">
      <formula>"Partial"</formula>
    </cfRule>
    <cfRule type="cellIs" dxfId="40" priority="24" operator="equal">
      <formula>"Off"</formula>
    </cfRule>
  </conditionalFormatting>
  <conditionalFormatting sqref="AA12:AE12 K12:X12">
    <cfRule type="cellIs" dxfId="39" priority="17" operator="equal">
      <formula>"SOP"</formula>
    </cfRule>
    <cfRule type="cellIs" dxfId="38" priority="18" operator="equal">
      <formula>"Peak"</formula>
    </cfRule>
    <cfRule type="cellIs" dxfId="37" priority="19" operator="equal">
      <formula>"Partial"</formula>
    </cfRule>
    <cfRule type="cellIs" dxfId="36" priority="20" operator="equal">
      <formula>"Off"</formula>
    </cfRule>
  </conditionalFormatting>
  <conditionalFormatting sqref="Y12:Z12">
    <cfRule type="cellIs" dxfId="35" priority="13" operator="equal">
      <formula>"SOP"</formula>
    </cfRule>
    <cfRule type="cellIs" dxfId="34" priority="14" operator="equal">
      <formula>"Peak"</formula>
    </cfRule>
    <cfRule type="cellIs" dxfId="33" priority="15" operator="equal">
      <formula>"Partial"</formula>
    </cfRule>
    <cfRule type="cellIs" dxfId="32" priority="16" operator="equal">
      <formula>"Off"</formula>
    </cfRule>
  </conditionalFormatting>
  <conditionalFormatting sqref="AF10:AH11">
    <cfRule type="cellIs" dxfId="31" priority="5" operator="equal">
      <formula>"SOP"</formula>
    </cfRule>
    <cfRule type="cellIs" dxfId="30" priority="6" operator="equal">
      <formula>"Peak"</formula>
    </cfRule>
    <cfRule type="cellIs" dxfId="29" priority="7" operator="equal">
      <formula>"Partial"</formula>
    </cfRule>
    <cfRule type="cellIs" dxfId="28" priority="8" operator="equal">
      <formula>"Off"</formula>
    </cfRule>
  </conditionalFormatting>
  <conditionalFormatting sqref="AF12:AH12">
    <cfRule type="cellIs" dxfId="27" priority="1" operator="equal">
      <formula>"SOP"</formula>
    </cfRule>
    <cfRule type="cellIs" dxfId="26" priority="2" operator="equal">
      <formula>"Peak"</formula>
    </cfRule>
    <cfRule type="cellIs" dxfId="25" priority="3" operator="equal">
      <formula>"Partial"</formula>
    </cfRule>
    <cfRule type="cellIs" dxfId="24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H45"/>
  <sheetViews>
    <sheetView zoomScale="80" zoomScaleNormal="80" workbookViewId="0">
      <selection activeCell="H26" sqref="H26"/>
    </sheetView>
  </sheetViews>
  <sheetFormatPr defaultRowHeight="15" x14ac:dyDescent="0.25"/>
  <cols>
    <col min="1" max="1" width="4" customWidth="1"/>
    <col min="2" max="2" width="32.28515625" customWidth="1"/>
    <col min="3" max="5" width="23" customWidth="1"/>
    <col min="6" max="6" width="5.5703125" customWidth="1"/>
    <col min="7" max="7" width="4.85546875" customWidth="1"/>
    <col min="20" max="20" width="1.7109375" customWidth="1"/>
  </cols>
  <sheetData>
    <row r="1" spans="2:8" ht="19.5" thickBot="1" x14ac:dyDescent="0.35">
      <c r="H1" s="36" t="s">
        <v>160</v>
      </c>
    </row>
    <row r="2" spans="2:8" ht="15.75" thickTop="1" x14ac:dyDescent="0.25">
      <c r="B2" s="24" t="s">
        <v>161</v>
      </c>
      <c r="C2" s="25" t="s">
        <v>162</v>
      </c>
      <c r="D2" s="25" t="s">
        <v>163</v>
      </c>
      <c r="E2" s="25" t="s">
        <v>164</v>
      </c>
    </row>
    <row r="3" spans="2:8" x14ac:dyDescent="0.25">
      <c r="B3" s="26" t="s">
        <v>157</v>
      </c>
      <c r="C3" s="26" t="s">
        <v>165</v>
      </c>
      <c r="D3" s="26" t="s">
        <v>165</v>
      </c>
      <c r="E3" s="26" t="s">
        <v>165</v>
      </c>
    </row>
    <row r="4" spans="2:8" x14ac:dyDescent="0.25">
      <c r="B4" s="27">
        <v>0</v>
      </c>
      <c r="C4" s="28" t="s">
        <v>58</v>
      </c>
      <c r="D4" s="28" t="s">
        <v>58</v>
      </c>
      <c r="E4" s="28" t="s">
        <v>58</v>
      </c>
    </row>
    <row r="5" spans="2:8" x14ac:dyDescent="0.25">
      <c r="B5" s="27">
        <v>4.1666666666666664E-2</v>
      </c>
      <c r="C5" s="28" t="s">
        <v>58</v>
      </c>
      <c r="D5" s="28" t="s">
        <v>58</v>
      </c>
      <c r="E5" s="28" t="s">
        <v>58</v>
      </c>
    </row>
    <row r="6" spans="2:8" x14ac:dyDescent="0.25">
      <c r="B6" s="27">
        <v>8.3333333333333301E-2</v>
      </c>
      <c r="C6" s="28" t="s">
        <v>58</v>
      </c>
      <c r="D6" s="28" t="s">
        <v>58</v>
      </c>
      <c r="E6" s="28" t="s">
        <v>58</v>
      </c>
    </row>
    <row r="7" spans="2:8" x14ac:dyDescent="0.25">
      <c r="B7" s="27">
        <v>0.125</v>
      </c>
      <c r="C7" s="28" t="s">
        <v>58</v>
      </c>
      <c r="D7" s="28" t="s">
        <v>58</v>
      </c>
      <c r="E7" s="28" t="s">
        <v>58</v>
      </c>
    </row>
    <row r="8" spans="2:8" x14ac:dyDescent="0.25">
      <c r="B8" s="27">
        <v>0.16666666666666699</v>
      </c>
      <c r="C8" s="28" t="s">
        <v>58</v>
      </c>
      <c r="D8" s="28" t="s">
        <v>58</v>
      </c>
      <c r="E8" s="28" t="s">
        <v>58</v>
      </c>
    </row>
    <row r="9" spans="2:8" x14ac:dyDescent="0.25">
      <c r="B9" s="27">
        <v>0.20833333333333301</v>
      </c>
      <c r="C9" s="28" t="s">
        <v>58</v>
      </c>
      <c r="D9" s="28" t="s">
        <v>58</v>
      </c>
      <c r="E9" s="28" t="s">
        <v>58</v>
      </c>
    </row>
    <row r="10" spans="2:8" x14ac:dyDescent="0.25">
      <c r="B10" s="31">
        <v>0.25</v>
      </c>
      <c r="C10" s="32" t="s">
        <v>46</v>
      </c>
      <c r="D10" s="32" t="s">
        <v>46</v>
      </c>
      <c r="E10" s="32" t="s">
        <v>46</v>
      </c>
    </row>
    <row r="11" spans="2:8" x14ac:dyDescent="0.25">
      <c r="B11" s="31">
        <v>0.29166666666666702</v>
      </c>
      <c r="C11" s="32" t="s">
        <v>46</v>
      </c>
      <c r="D11" s="32" t="s">
        <v>46</v>
      </c>
      <c r="E11" s="32" t="s">
        <v>46</v>
      </c>
    </row>
    <row r="12" spans="2:8" x14ac:dyDescent="0.25">
      <c r="B12" s="31">
        <v>0.33333333333333298</v>
      </c>
      <c r="C12" s="32" t="s">
        <v>46</v>
      </c>
      <c r="D12" s="32" t="s">
        <v>46</v>
      </c>
      <c r="E12" s="32" t="s">
        <v>46</v>
      </c>
    </row>
    <row r="13" spans="2:8" x14ac:dyDescent="0.25">
      <c r="B13" s="31">
        <v>0.375</v>
      </c>
      <c r="C13" s="32" t="s">
        <v>46</v>
      </c>
      <c r="D13" s="32" t="s">
        <v>46</v>
      </c>
      <c r="E13" s="32" t="s">
        <v>46</v>
      </c>
    </row>
    <row r="14" spans="2:8" x14ac:dyDescent="0.25">
      <c r="B14" s="31">
        <v>0.41666666666666702</v>
      </c>
      <c r="C14" s="32" t="s">
        <v>46</v>
      </c>
      <c r="D14" s="28" t="s">
        <v>58</v>
      </c>
      <c r="E14" s="32" t="s">
        <v>46</v>
      </c>
    </row>
    <row r="15" spans="2:8" x14ac:dyDescent="0.25">
      <c r="B15" s="31">
        <v>0.45833333333333298</v>
      </c>
      <c r="C15" s="32" t="s">
        <v>46</v>
      </c>
      <c r="D15" s="28" t="s">
        <v>58</v>
      </c>
      <c r="E15" s="32" t="s">
        <v>46</v>
      </c>
    </row>
    <row r="16" spans="2:8" x14ac:dyDescent="0.25">
      <c r="B16" s="31">
        <v>0.5</v>
      </c>
      <c r="C16" s="32" t="s">
        <v>46</v>
      </c>
      <c r="D16" s="28" t="s">
        <v>58</v>
      </c>
      <c r="E16" s="32" t="s">
        <v>46</v>
      </c>
    </row>
    <row r="17" spans="2:5" x14ac:dyDescent="0.25">
      <c r="B17" s="31">
        <v>0.54166666666666696</v>
      </c>
      <c r="C17" s="32" t="s">
        <v>46</v>
      </c>
      <c r="D17" s="28" t="s">
        <v>58</v>
      </c>
      <c r="E17" s="32" t="s">
        <v>46</v>
      </c>
    </row>
    <row r="18" spans="2:5" x14ac:dyDescent="0.25">
      <c r="B18" s="31">
        <v>0.58333333333333304</v>
      </c>
      <c r="C18" s="32" t="s">
        <v>46</v>
      </c>
      <c r="D18" s="32" t="s">
        <v>46</v>
      </c>
      <c r="E18" s="32" t="s">
        <v>46</v>
      </c>
    </row>
    <row r="19" spans="2:5" x14ac:dyDescent="0.25">
      <c r="B19" s="31">
        <v>0.625</v>
      </c>
      <c r="C19" s="32" t="s">
        <v>46</v>
      </c>
      <c r="D19" s="32" t="s">
        <v>46</v>
      </c>
      <c r="E19" s="32" t="s">
        <v>46</v>
      </c>
    </row>
    <row r="20" spans="2:5" x14ac:dyDescent="0.25">
      <c r="B20" s="29">
        <v>0.66666666666666696</v>
      </c>
      <c r="C20" s="30" t="s">
        <v>45</v>
      </c>
      <c r="D20" s="30" t="s">
        <v>45</v>
      </c>
      <c r="E20" s="30" t="s">
        <v>45</v>
      </c>
    </row>
    <row r="21" spans="2:5" x14ac:dyDescent="0.25">
      <c r="B21" s="29">
        <v>0.70833333333333304</v>
      </c>
      <c r="C21" s="30" t="s">
        <v>45</v>
      </c>
      <c r="D21" s="30" t="s">
        <v>45</v>
      </c>
      <c r="E21" s="30" t="s">
        <v>45</v>
      </c>
    </row>
    <row r="22" spans="2:5" x14ac:dyDescent="0.25">
      <c r="B22" s="29">
        <v>0.75</v>
      </c>
      <c r="C22" s="30" t="s">
        <v>45</v>
      </c>
      <c r="D22" s="30" t="s">
        <v>45</v>
      </c>
      <c r="E22" s="30" t="s">
        <v>45</v>
      </c>
    </row>
    <row r="23" spans="2:5" x14ac:dyDescent="0.25">
      <c r="B23" s="29">
        <v>0.79166666666666696</v>
      </c>
      <c r="C23" s="30" t="s">
        <v>45</v>
      </c>
      <c r="D23" s="30" t="s">
        <v>45</v>
      </c>
      <c r="E23" s="30" t="s">
        <v>45</v>
      </c>
    </row>
    <row r="24" spans="2:5" x14ac:dyDescent="0.25">
      <c r="B24" s="29">
        <v>0.83333333333333304</v>
      </c>
      <c r="C24" s="30" t="s">
        <v>45</v>
      </c>
      <c r="D24" s="30" t="s">
        <v>45</v>
      </c>
      <c r="E24" s="30" t="s">
        <v>45</v>
      </c>
    </row>
    <row r="25" spans="2:5" x14ac:dyDescent="0.25">
      <c r="B25" s="31">
        <v>0.875</v>
      </c>
      <c r="C25" s="32" t="s">
        <v>46</v>
      </c>
      <c r="D25" s="32" t="s">
        <v>46</v>
      </c>
      <c r="E25" s="32" t="s">
        <v>46</v>
      </c>
    </row>
    <row r="26" spans="2:5" x14ac:dyDescent="0.25">
      <c r="B26" s="31">
        <v>0.91666666666666696</v>
      </c>
      <c r="C26" s="32" t="s">
        <v>46</v>
      </c>
      <c r="D26" s="32" t="s">
        <v>46</v>
      </c>
      <c r="E26" s="32" t="s">
        <v>46</v>
      </c>
    </row>
    <row r="27" spans="2:5" ht="15.75" thickBot="1" x14ac:dyDescent="0.3">
      <c r="B27" s="33">
        <v>0.95833333333333304</v>
      </c>
      <c r="C27" s="34" t="s">
        <v>46</v>
      </c>
      <c r="D27" s="34" t="s">
        <v>46</v>
      </c>
      <c r="E27" s="34" t="s">
        <v>46</v>
      </c>
    </row>
    <row r="28" spans="2:5" ht="16.5" thickTop="1" thickBot="1" x14ac:dyDescent="0.3"/>
    <row r="29" spans="2:5" x14ac:dyDescent="0.25">
      <c r="B29" s="37" t="s">
        <v>166</v>
      </c>
      <c r="C29" s="38" t="s">
        <v>167</v>
      </c>
      <c r="D29" s="38" t="s">
        <v>167</v>
      </c>
      <c r="E29" s="38" t="s">
        <v>167</v>
      </c>
    </row>
    <row r="30" spans="2:5" x14ac:dyDescent="0.25">
      <c r="B30" s="39" t="s">
        <v>45</v>
      </c>
      <c r="C30" s="40">
        <v>5</v>
      </c>
      <c r="D30" s="40">
        <v>5</v>
      </c>
      <c r="E30" s="40">
        <v>5</v>
      </c>
    </row>
    <row r="31" spans="2:5" x14ac:dyDescent="0.25">
      <c r="B31" s="41" t="s">
        <v>46</v>
      </c>
      <c r="C31" s="42">
        <v>13</v>
      </c>
      <c r="D31" s="42">
        <v>9</v>
      </c>
      <c r="E31" s="42">
        <v>13</v>
      </c>
    </row>
    <row r="32" spans="2:5" x14ac:dyDescent="0.25">
      <c r="B32" s="43" t="s">
        <v>58</v>
      </c>
      <c r="C32" s="44">
        <v>6</v>
      </c>
      <c r="D32" s="44">
        <v>10</v>
      </c>
      <c r="E32" s="44">
        <v>6</v>
      </c>
    </row>
    <row r="33" spans="2:5" x14ac:dyDescent="0.25">
      <c r="B33" s="45" t="s">
        <v>7</v>
      </c>
      <c r="C33" s="46">
        <f>SUM(C30:C32)</f>
        <v>24</v>
      </c>
      <c r="D33" s="46">
        <f>SUM(D30:D32)</f>
        <v>24</v>
      </c>
      <c r="E33" s="46">
        <f>SUM(E30:E32)</f>
        <v>24</v>
      </c>
    </row>
    <row r="34" spans="2:5" x14ac:dyDescent="0.25">
      <c r="B34" s="47"/>
      <c r="C34" s="47"/>
      <c r="D34" s="47"/>
      <c r="E34" s="47"/>
    </row>
    <row r="35" spans="2:5" x14ac:dyDescent="0.25">
      <c r="B35" s="48" t="s">
        <v>168</v>
      </c>
      <c r="C35" s="49"/>
      <c r="D35" s="49"/>
      <c r="E35" s="49"/>
    </row>
    <row r="36" spans="2:5" x14ac:dyDescent="0.25">
      <c r="B36" s="39" t="s">
        <v>45</v>
      </c>
      <c r="C36" s="40">
        <f t="shared" ref="C36:E38" si="0">C30*365/12</f>
        <v>152.08333333333334</v>
      </c>
      <c r="D36" s="40">
        <f>D30*365/12</f>
        <v>152.08333333333334</v>
      </c>
      <c r="E36" s="40">
        <f t="shared" si="0"/>
        <v>152.08333333333334</v>
      </c>
    </row>
    <row r="37" spans="2:5" x14ac:dyDescent="0.25">
      <c r="B37" s="41" t="s">
        <v>46</v>
      </c>
      <c r="C37" s="42">
        <f t="shared" si="0"/>
        <v>395.41666666666669</v>
      </c>
      <c r="D37" s="42">
        <f t="shared" si="0"/>
        <v>273.75</v>
      </c>
      <c r="E37" s="42">
        <f t="shared" si="0"/>
        <v>395.41666666666669</v>
      </c>
    </row>
    <row r="38" spans="2:5" x14ac:dyDescent="0.25">
      <c r="B38" s="43" t="s">
        <v>58</v>
      </c>
      <c r="C38" s="44">
        <f t="shared" si="0"/>
        <v>182.5</v>
      </c>
      <c r="D38" s="44">
        <f t="shared" si="0"/>
        <v>304.16666666666669</v>
      </c>
      <c r="E38" s="44">
        <f t="shared" si="0"/>
        <v>182.5</v>
      </c>
    </row>
    <row r="39" spans="2:5" x14ac:dyDescent="0.25">
      <c r="B39" s="45" t="s">
        <v>7</v>
      </c>
      <c r="C39" s="46">
        <f>SUM(C36:C38)</f>
        <v>730</v>
      </c>
      <c r="D39" s="46">
        <f>SUM(D36:D38)</f>
        <v>730</v>
      </c>
      <c r="E39" s="46">
        <f>SUM(E36:E38)</f>
        <v>730</v>
      </c>
    </row>
    <row r="40" spans="2:5" x14ac:dyDescent="0.25">
      <c r="B40" s="47"/>
      <c r="C40" s="47"/>
      <c r="D40" s="47"/>
      <c r="E40" s="47"/>
    </row>
    <row r="41" spans="2:5" x14ac:dyDescent="0.25">
      <c r="B41" s="48" t="s">
        <v>169</v>
      </c>
      <c r="C41" s="49"/>
      <c r="D41" s="49"/>
      <c r="E41" s="49"/>
    </row>
    <row r="42" spans="2:5" x14ac:dyDescent="0.25">
      <c r="B42" s="39" t="s">
        <v>45</v>
      </c>
      <c r="C42" s="40">
        <f>C36*5</f>
        <v>760.41666666666674</v>
      </c>
      <c r="D42" s="40">
        <f>D36*2</f>
        <v>304.16666666666669</v>
      </c>
      <c r="E42" s="40">
        <f>E36*5</f>
        <v>760.41666666666674</v>
      </c>
    </row>
    <row r="43" spans="2:5" x14ac:dyDescent="0.25">
      <c r="B43" s="41" t="s">
        <v>46</v>
      </c>
      <c r="C43" s="42">
        <f>C37*5</f>
        <v>1977.0833333333335</v>
      </c>
      <c r="D43" s="42">
        <f t="shared" ref="D43:D44" si="1">D37*2</f>
        <v>547.5</v>
      </c>
      <c r="E43" s="42">
        <f t="shared" ref="E43:E44" si="2">E37*5</f>
        <v>1977.0833333333335</v>
      </c>
    </row>
    <row r="44" spans="2:5" x14ac:dyDescent="0.25">
      <c r="B44" s="43" t="s">
        <v>58</v>
      </c>
      <c r="C44" s="44">
        <f>C38*5</f>
        <v>912.5</v>
      </c>
      <c r="D44" s="44">
        <f t="shared" si="1"/>
        <v>608.33333333333337</v>
      </c>
      <c r="E44" s="44">
        <f t="shared" si="2"/>
        <v>912.5</v>
      </c>
    </row>
    <row r="45" spans="2:5" ht="15.75" thickBot="1" x14ac:dyDescent="0.3">
      <c r="B45" s="50" t="s">
        <v>7</v>
      </c>
      <c r="C45" s="51">
        <f>SUM(C42:C44)</f>
        <v>3650</v>
      </c>
      <c r="D45" s="51">
        <f>SUM(D42:D44)</f>
        <v>1460</v>
      </c>
      <c r="E45" s="51">
        <f>SUM(E42:E44)</f>
        <v>3650</v>
      </c>
    </row>
  </sheetData>
  <conditionalFormatting sqref="E4:E9 E18:E26">
    <cfRule type="cellIs" dxfId="23" priority="29" operator="equal">
      <formula>"SOP"</formula>
    </cfRule>
    <cfRule type="cellIs" dxfId="22" priority="30" operator="equal">
      <formula>"Peak"</formula>
    </cfRule>
    <cfRule type="cellIs" dxfId="21" priority="31" operator="equal">
      <formula>"Partial"</formula>
    </cfRule>
    <cfRule type="cellIs" dxfId="20" priority="32" operator="equal">
      <formula>"Off"</formula>
    </cfRule>
  </conditionalFormatting>
  <conditionalFormatting sqref="E27 B29:D29 C4:D27">
    <cfRule type="cellIs" dxfId="19" priority="33" operator="equal">
      <formula>"SOP"</formula>
    </cfRule>
    <cfRule type="cellIs" dxfId="18" priority="34" operator="equal">
      <formula>"Peak"</formula>
    </cfRule>
    <cfRule type="cellIs" dxfId="17" priority="35" operator="equal">
      <formula>"Partial"</formula>
    </cfRule>
    <cfRule type="cellIs" dxfId="16" priority="36" operator="equal">
      <formula>"Off"</formula>
    </cfRule>
  </conditionalFormatting>
  <conditionalFormatting sqref="E10:E17">
    <cfRule type="cellIs" dxfId="15" priority="25" operator="equal">
      <formula>"SOP"</formula>
    </cfRule>
    <cfRule type="cellIs" dxfId="14" priority="26" operator="equal">
      <formula>"Peak"</formula>
    </cfRule>
    <cfRule type="cellIs" dxfId="13" priority="27" operator="equal">
      <formula>"Partial"</formula>
    </cfRule>
    <cfRule type="cellIs" dxfId="12" priority="28" operator="equal">
      <formula>"Off"</formula>
    </cfRule>
  </conditionalFormatting>
  <conditionalFormatting sqref="E29">
    <cfRule type="cellIs" dxfId="11" priority="21" operator="equal">
      <formula>"SOP"</formula>
    </cfRule>
    <cfRule type="cellIs" dxfId="10" priority="22" operator="equal">
      <formula>"Peak"</formula>
    </cfRule>
    <cfRule type="cellIs" dxfId="9" priority="23" operator="equal">
      <formula>"Partial"</formula>
    </cfRule>
    <cfRule type="cellIs" dxfId="8" priority="24" operator="equal">
      <formula>"Off"</formula>
    </cfRule>
  </conditionalFormatting>
  <conditionalFormatting sqref="B35">
    <cfRule type="cellIs" dxfId="7" priority="5" operator="equal">
      <formula>"SOP"</formula>
    </cfRule>
    <cfRule type="cellIs" dxfId="6" priority="6" operator="equal">
      <formula>"Peak"</formula>
    </cfRule>
    <cfRule type="cellIs" dxfId="5" priority="7" operator="equal">
      <formula>"Partial"</formula>
    </cfRule>
    <cfRule type="cellIs" dxfId="4" priority="8" operator="equal">
      <formula>"Off"</formula>
    </cfRule>
  </conditionalFormatting>
  <conditionalFormatting sqref="B41">
    <cfRule type="cellIs" dxfId="3" priority="1" operator="equal">
      <formula>"SOP"</formula>
    </cfRule>
    <cfRule type="cellIs" dxfId="2" priority="2" operator="equal">
      <formula>"Peak"</formula>
    </cfRule>
    <cfRule type="cellIs" dxfId="1" priority="3" operator="equal">
      <formula>"Partial"</formula>
    </cfRule>
    <cfRule type="cellIs" dxfId="0" priority="4" operator="equal">
      <formula>"Off"</formula>
    </cfRule>
  </conditionalFormatting>
  <pageMargins left="0.45" right="0.45" top="0.5" bottom="0.5" header="0.3" footer="0.3"/>
  <pageSetup scale="56" orientation="landscape" r:id="rId1"/>
  <headerFooter>
    <oddFooter>&amp;L&amp;F&amp;C&amp;P of &amp;N&amp;R&amp;A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499984740745262"/>
  </sheetPr>
  <dimension ref="B1:M11"/>
  <sheetViews>
    <sheetView topLeftCell="C14" zoomScale="80" zoomScaleNormal="80" workbookViewId="0">
      <selection activeCell="U37" sqref="U37"/>
    </sheetView>
  </sheetViews>
  <sheetFormatPr defaultRowHeight="15" x14ac:dyDescent="0.25"/>
  <cols>
    <col min="2" max="2" width="17.140625" customWidth="1"/>
    <col min="5" max="5" width="48.28515625" customWidth="1"/>
    <col min="16" max="16" width="11.5703125" bestFit="1" customWidth="1"/>
  </cols>
  <sheetData>
    <row r="1" spans="2:13" ht="15.75" thickBot="1" x14ac:dyDescent="0.3"/>
    <row r="2" spans="2:13" x14ac:dyDescent="0.25">
      <c r="B2" s="212" t="s">
        <v>170</v>
      </c>
      <c r="C2" s="214" t="s">
        <v>171</v>
      </c>
      <c r="D2" s="214" t="s">
        <v>20</v>
      </c>
      <c r="E2" s="215" t="s">
        <v>172</v>
      </c>
    </row>
    <row r="3" spans="2:13" x14ac:dyDescent="0.25">
      <c r="B3" s="216" t="s">
        <v>173</v>
      </c>
      <c r="C3" s="348">
        <f>AVERAGE(B10:M10)</f>
        <v>3.9153333333333333</v>
      </c>
      <c r="D3" s="217" t="s">
        <v>174</v>
      </c>
      <c r="E3" s="218" t="s">
        <v>175</v>
      </c>
    </row>
    <row r="4" spans="2:13" x14ac:dyDescent="0.25">
      <c r="B4" s="216" t="s">
        <v>149</v>
      </c>
      <c r="C4" s="351">
        <v>0.86</v>
      </c>
      <c r="D4" s="217" t="s">
        <v>176</v>
      </c>
      <c r="E4" s="218" t="s">
        <v>177</v>
      </c>
    </row>
    <row r="5" spans="2:13" ht="15.75" thickBot="1" x14ac:dyDescent="0.3">
      <c r="B5" s="219" t="s">
        <v>149</v>
      </c>
      <c r="C5" s="352">
        <v>1.1137344</v>
      </c>
      <c r="D5" s="220" t="s">
        <v>178</v>
      </c>
      <c r="E5" s="221" t="s">
        <v>177</v>
      </c>
      <c r="F5" s="368"/>
    </row>
    <row r="7" spans="2:13" ht="15.75" thickBot="1" x14ac:dyDescent="0.3"/>
    <row r="8" spans="2:13" x14ac:dyDescent="0.25">
      <c r="B8" s="343" t="s">
        <v>179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5"/>
    </row>
    <row r="9" spans="2:13" x14ac:dyDescent="0.25">
      <c r="B9" s="344">
        <v>43235</v>
      </c>
      <c r="C9" s="345">
        <v>43266</v>
      </c>
      <c r="D9" s="345">
        <v>43296</v>
      </c>
      <c r="E9" s="345">
        <v>43327</v>
      </c>
      <c r="F9" s="345">
        <v>43358</v>
      </c>
      <c r="G9" s="345">
        <v>43388</v>
      </c>
      <c r="H9" s="345">
        <v>43419</v>
      </c>
      <c r="I9" s="345">
        <v>43449</v>
      </c>
      <c r="J9" s="345">
        <v>43480</v>
      </c>
      <c r="K9" s="345">
        <v>43511</v>
      </c>
      <c r="L9" s="345">
        <v>43539</v>
      </c>
      <c r="M9" s="346">
        <v>43570</v>
      </c>
    </row>
    <row r="10" spans="2:13" x14ac:dyDescent="0.25">
      <c r="B10" s="347">
        <v>3.9409999999999998</v>
      </c>
      <c r="C10" s="348">
        <v>3.9820000000000002</v>
      </c>
      <c r="D10" s="348">
        <v>3.9569999999999999</v>
      </c>
      <c r="E10" s="348">
        <v>3.94</v>
      </c>
      <c r="F10" s="348">
        <v>3.9729999999999999</v>
      </c>
      <c r="G10" s="348">
        <v>4.0860000000000003</v>
      </c>
      <c r="H10" s="348">
        <v>4.0179999999999998</v>
      </c>
      <c r="I10" s="348">
        <v>3.8580000000000001</v>
      </c>
      <c r="J10" s="348">
        <v>3.7530000000000001</v>
      </c>
      <c r="K10" s="348">
        <v>3.734</v>
      </c>
      <c r="L10" s="348">
        <v>3.7890000000000001</v>
      </c>
      <c r="M10" s="349">
        <v>3.9529999999999998</v>
      </c>
    </row>
    <row r="11" spans="2:13" ht="15.75" thickBot="1" x14ac:dyDescent="0.3">
      <c r="B11" s="350" t="s">
        <v>180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ing Document" ma:contentTypeID="0x0101003840FE4813D4A94DA97272E13764617F00973A8118B1D45142920B8ED3A31983F5" ma:contentTypeVersion="5" ma:contentTypeDescription="" ma:contentTypeScope="" ma:versionID="d2e24632040ccc244bdb024b9f893dfb">
  <xsd:schema xmlns:xsd="http://www.w3.org/2001/XMLSchema" xmlns:xs="http://www.w3.org/2001/XMLSchema" xmlns:p="http://schemas.microsoft.com/office/2006/metadata/properties" xmlns:ns2="3a0c425c-8a18-4bcd-b07b-a947f609ef0c" targetNamespace="http://schemas.microsoft.com/office/2006/metadata/properties" ma:root="true" ma:fieldsID="b092c1723953783a5659c60c6250df22" ns2:_=""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ecision" minOccurs="0"/>
                <xsd:element ref="ns2:Hearing" minOccurs="0"/>
                <xsd:element ref="ns2:Opening" minOccurs="0"/>
                <xsd:element ref="ns2:Reply" minOccurs="0"/>
                <xsd:element ref="ns2:Testimony" minOccurs="0"/>
                <xsd:element ref="ns2:Workpaper" minOccurs="0"/>
                <xsd:element ref="ns2:Program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Filing Doc Type" ma:format="Dropdown" ma:internalName="Document_x0020_Type">
      <xsd:simpleType>
        <xsd:restriction base="dms:Choice">
          <xsd:enumeration value="Advice Letter"/>
          <xsd:enumeration value="Analysis"/>
          <xsd:enumeration value="Application"/>
          <xsd:enumeration value="Customer"/>
          <xsd:enumeration value="Decision (Final)"/>
          <xsd:enumeration value="Decision (Proposed)"/>
          <xsd:enumeration value="Discovery"/>
          <xsd:enumeration value="Filing Schedule"/>
          <xsd:enumeration value="Hearing"/>
          <xsd:enumeration value="Noticing"/>
          <xsd:enumeration value="Presentation"/>
          <xsd:enumeration value="RFI/RFP"/>
          <xsd:enumeration value="Settlement"/>
          <xsd:enumeration value="Supporting Info"/>
          <xsd:enumeration value="Testimony"/>
          <xsd:enumeration value="Workpaper"/>
        </xsd:restriction>
      </xsd:simpleType>
    </xsd:element>
    <xsd:element name="Decision" ma:index="9" nillable="true" ma:displayName="Decision" ma:format="Dropdown" ma:internalName="Decision">
      <xsd:simpleType>
        <xsd:restriction base="dms:Choice">
          <xsd:enumeration value="Proposed"/>
          <xsd:enumeration value="Final"/>
        </xsd:restriction>
      </xsd:simpleType>
    </xsd:element>
    <xsd:element name="Hearing" ma:index="10" nillable="true" ma:displayName="Hearing" ma:format="Dropdown" ma:internalName="Hearing">
      <xsd:simpleType>
        <xsd:restriction base="dms:Choice">
          <xsd:enumeration value="PHC"/>
          <xsd:enumeration value="PPH"/>
          <xsd:enumeration value="Evidentiary Hearing Prep"/>
          <xsd:enumeration value="Transcripts"/>
        </xsd:restriction>
      </xsd:simpleType>
    </xsd:element>
    <xsd:element name="Opening" ma:index="11" nillable="true" ma:displayName="Opening" ma:format="Dropdown" ma:internalName="Opening">
      <xsd:simpleType>
        <xsd:restriction base="dms:Choice">
          <xsd:enumeration value="Opening Brief"/>
          <xsd:enumeration value="Opening Comments to Proposed Decision"/>
        </xsd:restriction>
      </xsd:simpleType>
    </xsd:element>
    <xsd:element name="Reply" ma:index="12" nillable="true" ma:displayName="Reply" ma:format="Dropdown" ma:internalName="Reply">
      <xsd:simpleType>
        <xsd:restriction base="dms:Choice">
          <xsd:enumeration value="Reply Brief"/>
          <xsd:enumeration value="Reply Comments to Proposed Decision"/>
          <xsd:enumeration value="Reply to Protests and Responses to Application"/>
        </xsd:restriction>
      </xsd:simpleType>
    </xsd:element>
    <xsd:element name="Testimony" ma:index="13" nillable="true" ma:displayName="Testimony" ma:format="Dropdown" ma:internalName="Testimony">
      <xsd:simpleType>
        <xsd:restriction base="dms:Choice">
          <xsd:enumeration value="Concurrent Rebuttal"/>
          <xsd:enumeration value="Direct"/>
          <xsd:enumeration value="Intervenor"/>
        </xsd:restriction>
      </xsd:simpleType>
    </xsd:element>
    <xsd:element name="Workpaper" ma:index="14" nillable="true" ma:displayName="Workpaper" ma:format="Dropdown" ma:internalName="Workpaper">
      <xsd:simpleType>
        <xsd:union memberTypes="dms:Text">
          <xsd:simpleType>
            <xsd:restriction base="dms:Choice">
              <xsd:enumeration value="Cost"/>
            </xsd:restriction>
          </xsd:simpleType>
        </xsd:union>
      </xsd:simpleType>
    </xsd:element>
    <xsd:element name="Program_x0020_Status" ma:index="15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Status xmlns="3a0c425c-8a18-4bcd-b07b-a947f609ef0c">Potential/Pending</Program_x0020_Status>
    <Hearing xmlns="3a0c425c-8a18-4bcd-b07b-a947f609ef0c" xsi:nil="true"/>
    <Decision xmlns="3a0c425c-8a18-4bcd-b07b-a947f609ef0c" xsi:nil="true"/>
    <Reply xmlns="3a0c425c-8a18-4bcd-b07b-a947f609ef0c" xsi:nil="true"/>
    <Workpaper xmlns="3a0c425c-8a18-4bcd-b07b-a947f609ef0c" xsi:nil="true"/>
    <Document_x0020_Type xmlns="3a0c425c-8a18-4bcd-b07b-a947f609ef0c" xsi:nil="true"/>
    <Opening xmlns="3a0c425c-8a18-4bcd-b07b-a947f609ef0c" xsi:nil="true"/>
    <Testimony xmlns="3a0c425c-8a18-4bcd-b07b-a947f609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A690F-91B7-4B5A-B009-6602A03D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E0292-46BF-4063-A584-CE9D8786743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0c425c-8a18-4bcd-b07b-a947f609ef0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60D4EA-4C9C-4722-8259-FAA6EB2803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 of Results</vt:lpstr>
      <vt:lpstr>Rate Summary TOU-M and EV-HP</vt:lpstr>
      <vt:lpstr>1 MD EV Depot (Large)</vt:lpstr>
      <vt:lpstr>2 MD EV Depot (Small)</vt:lpstr>
      <vt:lpstr>3 Transit Bus Depot</vt:lpstr>
      <vt:lpstr>4 School Bus Depot</vt:lpstr>
      <vt:lpstr>5 DC Fast Charger</vt:lpstr>
      <vt:lpstr>TOU Period Definitions</vt:lpstr>
      <vt:lpstr>Incumbent fuels</vt:lpstr>
      <vt:lpstr>'1 MD EV Depot (Large)'!Print_Area</vt:lpstr>
      <vt:lpstr>'2 MD EV Depot (Small)'!Print_Area</vt:lpstr>
      <vt:lpstr>'3 Transit Bus Depot'!Print_Area</vt:lpstr>
      <vt:lpstr>'4 School Bus Depot'!Print_Area</vt:lpstr>
      <vt:lpstr>'5 DC Fast Charger'!Print_Area</vt:lpstr>
      <vt:lpstr>'Rate Summary TOU-M and EV-HP'!Print_Area</vt:lpstr>
      <vt:lpstr>'Summary of Results'!Print_Area</vt:lpstr>
      <vt:lpstr>'TOU Period Definitions'!Print_Area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Hansen, Robert</dc:creator>
  <cp:keywords/>
  <dc:description/>
  <cp:lastModifiedBy>Marvin, Taylor (Contractor)</cp:lastModifiedBy>
  <cp:revision/>
  <dcterms:created xsi:type="dcterms:W3CDTF">2018-04-17T05:14:23Z</dcterms:created>
  <dcterms:modified xsi:type="dcterms:W3CDTF">2019-12-12T18:26:27Z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0x0101003840FE4813D4A94DA97272E13764617F00973A8118B1D45142920B8ED3A31983F5</vt:lpwstr>
  </property>
  <property fmtid="{D5CDD505-2E9C-101B-9397-08002B2CF9AE}" pid="3" name="_MarkAsFinal">
    <vt:bool>true</vt:bool>
  </property>
</Properties>
</file>