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https://sempra-my.sharepoint.com/personal/kpitsko_semprautilities_com/Documents/User Folders/Desktop/Customer Programs/"/>
    </mc:Choice>
  </mc:AlternateContent>
  <xr:revisionPtr revIDLastSave="7" documentId="8_{13E8BC36-2097-4258-A31D-91BF41D2C269}" xr6:coauthVersionLast="47" xr6:coauthVersionMax="47" xr10:uidLastSave="{9BBF6E7F-EFDF-486B-9604-71F320553919}"/>
  <bookViews>
    <workbookView xWindow="-38510" yWindow="-50" windowWidth="38620" windowHeight="21220" tabRatio="873" firstSheet="1" activeTab="10"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Event Summary" sheetId="57" r:id="rId6"/>
    <sheet name="Auto DR (TI) &amp; Tech Deployment" sheetId="131" r:id="rId7"/>
    <sheet name="Marketing" sheetId="134" r:id="rId8"/>
    <sheet name="DRP Expenditures" sheetId="117" r:id="rId9"/>
    <sheet name="Fund Shift Log" sheetId="29" r:id="rId10"/>
    <sheet name="SDGE Costs - AMDRMA Balance" sheetId="119" r:id="rId11"/>
    <sheet name="SDGE Costs -GRC " sheetId="120" r:id="rId12"/>
    <sheet name="SDGE Costs -DPDRMA" sheetId="129" r:id="rId13"/>
    <sheet name="SDGE Costs -ELRP" sheetId="137" r:id="rId14"/>
  </sheets>
  <externalReferences>
    <externalReference r:id="rId15"/>
    <externalReference r:id="rId16"/>
  </externalReferences>
  <definedNames>
    <definedName name="_AMO_UniqueIdentifier" hidden="1">"'149b2d1a-72c1-44e5-bc61-8e647e92c66a'"</definedName>
    <definedName name="_DAT1" localSheetId="8">#REF!</definedName>
    <definedName name="_DAT1" localSheetId="7">#REF!</definedName>
    <definedName name="_DAT1" localSheetId="10">#REF!</definedName>
    <definedName name="_DAT1" localSheetId="12">#REF!</definedName>
    <definedName name="_DAT1" localSheetId="13">'SDGE Costs -ELRP'!#REF!</definedName>
    <definedName name="_DAT1">#REF!</definedName>
    <definedName name="_DAT10" localSheetId="8">#REF!</definedName>
    <definedName name="_DAT10" localSheetId="7">#REF!</definedName>
    <definedName name="_DAT10" localSheetId="12">#REF!</definedName>
    <definedName name="_DAT10" localSheetId="13">'SDGE Costs -ELRP'!#REF!</definedName>
    <definedName name="_DAT10">#REF!</definedName>
    <definedName name="_DAT11" localSheetId="8">#REF!</definedName>
    <definedName name="_DAT11" localSheetId="7">#REF!</definedName>
    <definedName name="_DAT11" localSheetId="12">#REF!</definedName>
    <definedName name="_DAT11" localSheetId="13">'SDGE Costs -ELRP'!#REF!</definedName>
    <definedName name="_DAT11">#REF!</definedName>
    <definedName name="_DAT12" localSheetId="8">#REF!</definedName>
    <definedName name="_DAT12" localSheetId="12">#REF!</definedName>
    <definedName name="_DAT12" localSheetId="13">'SDGE Costs -ELRP'!#REF!</definedName>
    <definedName name="_DAT12">#REF!</definedName>
    <definedName name="_DAT13" localSheetId="8">#REF!</definedName>
    <definedName name="_DAT13" localSheetId="12">#REF!</definedName>
    <definedName name="_DAT13" localSheetId="13">'SDGE Costs -ELRP'!#REF!</definedName>
    <definedName name="_DAT13">#REF!</definedName>
    <definedName name="_DAT14" localSheetId="8">#REF!</definedName>
    <definedName name="_DAT14" localSheetId="12">#REF!</definedName>
    <definedName name="_DAT14" localSheetId="13">'SDGE Costs -ELRP'!#REF!</definedName>
    <definedName name="_DAT14">#REF!</definedName>
    <definedName name="_DAT15" localSheetId="8">#REF!</definedName>
    <definedName name="_DAT15" localSheetId="12">#REF!</definedName>
    <definedName name="_DAT15" localSheetId="13">'SDGE Costs -ELRP'!#REF!</definedName>
    <definedName name="_DAT15">#REF!</definedName>
    <definedName name="_DAT16" localSheetId="8">#REF!</definedName>
    <definedName name="_DAT16" localSheetId="12">#REF!</definedName>
    <definedName name="_DAT16" localSheetId="13">'SDGE Costs -ELRP'!#REF!</definedName>
    <definedName name="_DAT16">#REF!</definedName>
    <definedName name="_DAT17" localSheetId="8">#REF!</definedName>
    <definedName name="_DAT17" localSheetId="12">#REF!</definedName>
    <definedName name="_DAT17" localSheetId="13">'SDGE Costs -ELRP'!#REF!</definedName>
    <definedName name="_DAT17">#REF!</definedName>
    <definedName name="_DAT2" localSheetId="8">#REF!</definedName>
    <definedName name="_DAT2" localSheetId="12">#REF!</definedName>
    <definedName name="_DAT2" localSheetId="13">'SDGE Costs -ELRP'!#REF!</definedName>
    <definedName name="_DAT2">#REF!</definedName>
    <definedName name="_DAT3" localSheetId="8">#REF!</definedName>
    <definedName name="_DAT3" localSheetId="12">#REF!</definedName>
    <definedName name="_DAT3" localSheetId="13">'SDGE Costs -ELRP'!#REF!</definedName>
    <definedName name="_DAT3">#REF!</definedName>
    <definedName name="_DAT4" localSheetId="8">#REF!</definedName>
    <definedName name="_DAT4" localSheetId="12">#REF!</definedName>
    <definedName name="_DAT4" localSheetId="13">'SDGE Costs -ELRP'!#REF!</definedName>
    <definedName name="_DAT4">#REF!</definedName>
    <definedName name="_DAT5" localSheetId="8">#REF!</definedName>
    <definedName name="_DAT5" localSheetId="12">#REF!</definedName>
    <definedName name="_DAT5" localSheetId="13">'SDGE Costs -ELRP'!#REF!</definedName>
    <definedName name="_DAT5">#REF!</definedName>
    <definedName name="_DAT6" localSheetId="8">#REF!</definedName>
    <definedName name="_DAT6" localSheetId="12">#REF!</definedName>
    <definedName name="_DAT6" localSheetId="13">'SDGE Costs -ELRP'!#REF!</definedName>
    <definedName name="_DAT6">#REF!</definedName>
    <definedName name="_DAT7" localSheetId="8">#REF!</definedName>
    <definedName name="_DAT7" localSheetId="12">#REF!</definedName>
    <definedName name="_DAT7" localSheetId="13">'SDGE Costs -ELRP'!#REF!</definedName>
    <definedName name="_DAT7">#REF!</definedName>
    <definedName name="_DAT8" localSheetId="8">#REF!</definedName>
    <definedName name="_DAT8" localSheetId="12">#REF!</definedName>
    <definedName name="_DAT8" localSheetId="13">'SDGE Costs -ELRP'!#REF!</definedName>
    <definedName name="_DAT8">#REF!</definedName>
    <definedName name="_DAT9" localSheetId="8">#REF!</definedName>
    <definedName name="_DAT9" localSheetId="12">#REF!</definedName>
    <definedName name="_DAT9" localSheetId="13">'SDGE Costs -ELRP'!#REF!</definedName>
    <definedName name="_DAT9">#REF!</definedName>
    <definedName name="_xlnm._FilterDatabase" localSheetId="5" hidden="1">'Event Summary'!$A$8:$G$10</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13">'SDGE Costs -ELRP'!#REF!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13">'SDGE Costs -ELRP'!#REF!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13">'SDGE Costs -ELRP'!#REF!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13">'SDGE Costs -ELRP'!#REF!</definedName>
    <definedName name="Collect_Revenue" localSheetId="4">#REF!</definedName>
    <definedName name="Collect_Revenue">#REF!</definedName>
    <definedName name="DATA1" localSheetId="8">#REF!</definedName>
    <definedName name="DATA1" localSheetId="12">#REF!</definedName>
    <definedName name="DATA1" localSheetId="13">'SDGE Costs -ELRP'!#REF!</definedName>
    <definedName name="DATA1">#REF!</definedName>
    <definedName name="DATA10" localSheetId="8">#REF!</definedName>
    <definedName name="DATA10" localSheetId="12">#REF!</definedName>
    <definedName name="DATA10" localSheetId="13">'SDGE Costs -ELRP'!#REF!</definedName>
    <definedName name="DATA10">#REF!</definedName>
    <definedName name="DATA11" localSheetId="8">#REF!</definedName>
    <definedName name="DATA11" localSheetId="12">#REF!</definedName>
    <definedName name="DATA11" localSheetId="13">'SDGE Costs -ELRP'!#REF!</definedName>
    <definedName name="DATA11">#REF!</definedName>
    <definedName name="DATA12" localSheetId="8">#REF!</definedName>
    <definedName name="DATA12" localSheetId="12">#REF!</definedName>
    <definedName name="DATA12" localSheetId="13">'SDGE Costs -ELRP'!#REF!</definedName>
    <definedName name="DATA12">#REF!</definedName>
    <definedName name="DATA13" localSheetId="8">#REF!</definedName>
    <definedName name="DATA13" localSheetId="12">#REF!</definedName>
    <definedName name="DATA13" localSheetId="13">'SDGE Costs -ELRP'!#REF!</definedName>
    <definedName name="DATA13">#REF!</definedName>
    <definedName name="DATA14" localSheetId="8">#REF!</definedName>
    <definedName name="DATA14" localSheetId="12">#REF!</definedName>
    <definedName name="DATA14" localSheetId="13">'SDGE Costs -ELRP'!#REF!</definedName>
    <definedName name="DATA14">#REF!</definedName>
    <definedName name="DATA15" localSheetId="8">#REF!</definedName>
    <definedName name="DATA15" localSheetId="12">#REF!</definedName>
    <definedName name="DATA15" localSheetId="13">'SDGE Costs -ELRP'!#REF!</definedName>
    <definedName name="DATA15">#REF!</definedName>
    <definedName name="DATA16" localSheetId="8">#REF!</definedName>
    <definedName name="DATA16" localSheetId="12">#REF!</definedName>
    <definedName name="DATA16" localSheetId="13">'SDGE Costs -ELRP'!#REF!</definedName>
    <definedName name="DATA16">#REF!</definedName>
    <definedName name="DATA17" localSheetId="8">#REF!</definedName>
    <definedName name="DATA17" localSheetId="12">#REF!</definedName>
    <definedName name="DATA17" localSheetId="13">'SDGE Costs -ELRP'!#REF!</definedName>
    <definedName name="DATA17">#REF!</definedName>
    <definedName name="DATA18" localSheetId="8">#REF!</definedName>
    <definedName name="DATA18" localSheetId="12">#REF!</definedName>
    <definedName name="DATA18" localSheetId="13">'SDGE Costs -ELRP'!#REF!</definedName>
    <definedName name="DATA18">#REF!</definedName>
    <definedName name="DATA19" localSheetId="8">#REF!</definedName>
    <definedName name="DATA19" localSheetId="12">#REF!</definedName>
    <definedName name="DATA19" localSheetId="13">'SDGE Costs -ELRP'!#REF!</definedName>
    <definedName name="DATA19">#REF!</definedName>
    <definedName name="DATA2" localSheetId="8">#REF!</definedName>
    <definedName name="DATA2" localSheetId="12">#REF!</definedName>
    <definedName name="DATA2" localSheetId="13">'SDGE Costs -ELRP'!#REF!</definedName>
    <definedName name="DATA2">#REF!</definedName>
    <definedName name="DATA20" localSheetId="8">#REF!</definedName>
    <definedName name="DATA20" localSheetId="12">#REF!</definedName>
    <definedName name="DATA20" localSheetId="13">'SDGE Costs -ELRP'!#REF!</definedName>
    <definedName name="DATA20">#REF!</definedName>
    <definedName name="DATA3" localSheetId="8">#REF!</definedName>
    <definedName name="DATA3" localSheetId="12">#REF!</definedName>
    <definedName name="DATA3" localSheetId="13">'SDGE Costs -ELRP'!#REF!</definedName>
    <definedName name="DATA3">#REF!</definedName>
    <definedName name="DATA4" localSheetId="8">#REF!</definedName>
    <definedName name="DATA4" localSheetId="12">#REF!</definedName>
    <definedName name="DATA4" localSheetId="13">'SDGE Costs -ELRP'!#REF!</definedName>
    <definedName name="DATA4">#REF!</definedName>
    <definedName name="DATA5" localSheetId="8">#REF!</definedName>
    <definedName name="DATA5" localSheetId="12">#REF!</definedName>
    <definedName name="DATA5" localSheetId="13">'SDGE Costs -ELRP'!#REF!</definedName>
    <definedName name="DATA5">#REF!</definedName>
    <definedName name="data5000">'[1]ACTMA Detail'!$N$2:$N$102</definedName>
    <definedName name="DATA6" localSheetId="8">#REF!</definedName>
    <definedName name="DATA6" localSheetId="7">#REF!</definedName>
    <definedName name="DATA6" localSheetId="12">#REF!</definedName>
    <definedName name="DATA6" localSheetId="13">'SDGE Costs -ELRP'!#REF!</definedName>
    <definedName name="DATA6">#REF!</definedName>
    <definedName name="DATA7" localSheetId="8">#REF!</definedName>
    <definedName name="DATA7" localSheetId="7">#REF!</definedName>
    <definedName name="DATA7" localSheetId="12">#REF!</definedName>
    <definedName name="DATA7" localSheetId="13">'SDGE Costs -ELRP'!#REF!</definedName>
    <definedName name="DATA7">#REF!</definedName>
    <definedName name="DATA8" localSheetId="8">#REF!</definedName>
    <definedName name="DATA8" localSheetId="7">#REF!</definedName>
    <definedName name="DATA8" localSheetId="12">#REF!</definedName>
    <definedName name="DATA8" localSheetId="13">'SDGE Costs -ELRP'!#REF!</definedName>
    <definedName name="DATA8">#REF!</definedName>
    <definedName name="DATA9" localSheetId="8">#REF!</definedName>
    <definedName name="DATA9" localSheetId="12">#REF!</definedName>
    <definedName name="DATA9" localSheetId="13">'SDGE Costs -ELRP'!#REF!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3">[2]LOOKUP!$E$2:$E$14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13">'SDGE Costs -ELRP'!#REF!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13">'SDGE Costs -ELRP'!#REF!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13">'SDGE Costs -ELRP'!#REF!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13">'SDGE Costs -ELRP'!#REF!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13">'SDGE Costs -ELRP'!#REF!</definedName>
    <definedName name="Meet_Financial_Targets" localSheetId="4">#REF!</definedName>
    <definedName name="Meet_Financial_Targets">#REF!</definedName>
    <definedName name="nnnnnn">'[1]ACTMA Detail'!$P$2:$P$102</definedName>
    <definedName name="_xlnm.Print_Area" localSheetId="6">'Auto DR (TI) &amp; Tech Deployment'!$A$1:$M$44</definedName>
    <definedName name="_xlnm.Print_Area" localSheetId="8">'DRP Expenditures'!$A$54:$M$54</definedName>
    <definedName name="_xlnm.Print_Area" localSheetId="2">'Ex ante LI &amp; Eligibility Stats'!$A$1:$O$19</definedName>
    <definedName name="_xlnm.Print_Area" localSheetId="3">'Ex post LI &amp; Eligibility Stats'!$A$1:$O$31</definedName>
    <definedName name="_xlnm.Print_Area" localSheetId="9">'Fund Shift Log'!$A$1:$E$23</definedName>
    <definedName name="_xlnm.Print_Area" localSheetId="7">Marketing!$A$1:$Q$40</definedName>
    <definedName name="_xlnm.Print_Area" localSheetId="1">'Program MW '!$A$1:$S$56</definedName>
    <definedName name="_xlnm.Print_Area" localSheetId="12">'SDGE Costs -DPDRMA'!$A$2:$N$45</definedName>
    <definedName name="_xlnm.Print_Area" localSheetId="13">'SDGE Costs -ELRP'!$A$2:$N$41</definedName>
    <definedName name="_xlnm.Print_Area" localSheetId="11">'SDGE Costs -GRC '!$A$1:$N$34</definedName>
    <definedName name="Reliability_Expectations" localSheetId="8">#REF!</definedName>
    <definedName name="Reliability_Expectations" localSheetId="2">#REF!</definedName>
    <definedName name="Reliability_Expectations" localSheetId="3">#REF!</definedName>
    <definedName name="Reliability_Expectations" localSheetId="7">#REF!</definedName>
    <definedName name="Reliability_Expectations" localSheetId="1">#REF!</definedName>
    <definedName name="Reliability_Expectations" localSheetId="12">#REF!</definedName>
    <definedName name="Reliability_Expectations" localSheetId="13">'SDGE Costs -ELRP'!#REF!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7">#REF!</definedName>
    <definedName name="Stabilization_Customer_Base" localSheetId="1">#REF!</definedName>
    <definedName name="Stabilization_Customer_Base" localSheetId="12">#REF!</definedName>
    <definedName name="Stabilization_Customer_Base" localSheetId="13">'SDGE Costs -ELRP'!#REF!</definedName>
    <definedName name="Stabilization_Customer_Base" localSheetId="4">#REF!</definedName>
    <definedName name="Stabilization_Customer_Base">#REF!</definedName>
    <definedName name="TEST0" localSheetId="8">#REF!</definedName>
    <definedName name="TEST0" localSheetId="7">#REF!</definedName>
    <definedName name="TEST0" localSheetId="12">#REF!</definedName>
    <definedName name="TEST0" localSheetId="13">'SDGE Costs -ELRP'!#REF!</definedName>
    <definedName name="TEST0">#REF!</definedName>
    <definedName name="TEST1" localSheetId="8">#REF!</definedName>
    <definedName name="TEST1" localSheetId="12">#REF!</definedName>
    <definedName name="TEST1" localSheetId="13">'SDGE Costs -ELRP'!#REF!</definedName>
    <definedName name="TEST1">#REF!</definedName>
    <definedName name="TEST10" localSheetId="8">#REF!</definedName>
    <definedName name="TEST10" localSheetId="12">#REF!</definedName>
    <definedName name="TEST10" localSheetId="13">'SDGE Costs -ELRP'!#REF!</definedName>
    <definedName name="TEST10">#REF!</definedName>
    <definedName name="TEST11" localSheetId="8">#REF!</definedName>
    <definedName name="TEST11" localSheetId="12">#REF!</definedName>
    <definedName name="TEST11" localSheetId="13">'SDGE Costs -ELRP'!#REF!</definedName>
    <definedName name="TEST11">#REF!</definedName>
    <definedName name="TEST12" localSheetId="8">#REF!</definedName>
    <definedName name="TEST12" localSheetId="12">#REF!</definedName>
    <definedName name="TEST12" localSheetId="13">'SDGE Costs -ELRP'!#REF!</definedName>
    <definedName name="TEST12">#REF!</definedName>
    <definedName name="TEST13" localSheetId="8">#REF!</definedName>
    <definedName name="TEST13" localSheetId="12">#REF!</definedName>
    <definedName name="TEST13" localSheetId="13">'SDGE Costs -ELRP'!#REF!</definedName>
    <definedName name="TEST13">#REF!</definedName>
    <definedName name="TEST14" localSheetId="8">#REF!</definedName>
    <definedName name="TEST14" localSheetId="12">#REF!</definedName>
    <definedName name="TEST14" localSheetId="13">'SDGE Costs -ELRP'!#REF!</definedName>
    <definedName name="TEST14">#REF!</definedName>
    <definedName name="TEST15" localSheetId="8">#REF!</definedName>
    <definedName name="TEST15" localSheetId="12">#REF!</definedName>
    <definedName name="TEST15" localSheetId="13">'SDGE Costs -ELRP'!#REF!</definedName>
    <definedName name="TEST15">#REF!</definedName>
    <definedName name="TEST16" localSheetId="8">#REF!</definedName>
    <definedName name="TEST16" localSheetId="12">#REF!</definedName>
    <definedName name="TEST16" localSheetId="13">'SDGE Costs -ELRP'!#REF!</definedName>
    <definedName name="TEST16">#REF!</definedName>
    <definedName name="TEST17" localSheetId="8">#REF!</definedName>
    <definedName name="TEST17" localSheetId="12">#REF!</definedName>
    <definedName name="TEST17" localSheetId="13">'SDGE Costs -ELRP'!#REF!</definedName>
    <definedName name="TEST17">#REF!</definedName>
    <definedName name="TEST18" localSheetId="8">#REF!</definedName>
    <definedName name="TEST18" localSheetId="12">#REF!</definedName>
    <definedName name="TEST18" localSheetId="13">'SDGE Costs -ELRP'!#REF!</definedName>
    <definedName name="TEST18">#REF!</definedName>
    <definedName name="TEST19" localSheetId="8">#REF!</definedName>
    <definedName name="TEST19" localSheetId="12">#REF!</definedName>
    <definedName name="TEST19" localSheetId="13">'SDGE Costs -ELRP'!#REF!</definedName>
    <definedName name="TEST19">#REF!</definedName>
    <definedName name="TEST2" localSheetId="8">#REF!</definedName>
    <definedName name="TEST2" localSheetId="12">#REF!</definedName>
    <definedName name="TEST2" localSheetId="13">'SDGE Costs -ELRP'!#REF!</definedName>
    <definedName name="TEST2">#REF!</definedName>
    <definedName name="TEST20" localSheetId="8">#REF!</definedName>
    <definedName name="TEST20" localSheetId="12">#REF!</definedName>
    <definedName name="TEST20" localSheetId="13">'SDGE Costs -ELRP'!#REF!</definedName>
    <definedName name="TEST20">#REF!</definedName>
    <definedName name="TEST21" localSheetId="8">#REF!</definedName>
    <definedName name="TEST21" localSheetId="12">#REF!</definedName>
    <definedName name="TEST21" localSheetId="13">'SDGE Costs -ELRP'!#REF!</definedName>
    <definedName name="TEST21">#REF!</definedName>
    <definedName name="TEST22" localSheetId="8">#REF!</definedName>
    <definedName name="TEST22" localSheetId="12">#REF!</definedName>
    <definedName name="TEST22" localSheetId="13">'SDGE Costs -ELRP'!#REF!</definedName>
    <definedName name="TEST22">#REF!</definedName>
    <definedName name="TEST23" localSheetId="8">#REF!</definedName>
    <definedName name="TEST23" localSheetId="12">#REF!</definedName>
    <definedName name="TEST23" localSheetId="13">'SDGE Costs -ELRP'!#REF!</definedName>
    <definedName name="TEST23">#REF!</definedName>
    <definedName name="TEST24" localSheetId="8">#REF!</definedName>
    <definedName name="TEST24" localSheetId="12">#REF!</definedName>
    <definedName name="TEST24" localSheetId="13">'SDGE Costs -ELRP'!#REF!</definedName>
    <definedName name="TEST24">#REF!</definedName>
    <definedName name="TEST25" localSheetId="8">#REF!</definedName>
    <definedName name="TEST25" localSheetId="12">#REF!</definedName>
    <definedName name="TEST25" localSheetId="13">'SDGE Costs -ELRP'!#REF!</definedName>
    <definedName name="TEST25">#REF!</definedName>
    <definedName name="TEST26" localSheetId="8">#REF!</definedName>
    <definedName name="TEST26" localSheetId="12">#REF!</definedName>
    <definedName name="TEST26" localSheetId="13">'SDGE Costs -ELRP'!#REF!</definedName>
    <definedName name="TEST26">#REF!</definedName>
    <definedName name="TEST27" localSheetId="8">#REF!</definedName>
    <definedName name="TEST27" localSheetId="12">#REF!</definedName>
    <definedName name="TEST27" localSheetId="13">'SDGE Costs -ELRP'!#REF!</definedName>
    <definedName name="TEST27">#REF!</definedName>
    <definedName name="TEST28" localSheetId="8">#REF!</definedName>
    <definedName name="TEST28" localSheetId="12">#REF!</definedName>
    <definedName name="TEST28" localSheetId="13">'SDGE Costs -ELRP'!#REF!</definedName>
    <definedName name="TEST28">#REF!</definedName>
    <definedName name="TEST3" localSheetId="8">#REF!</definedName>
    <definedName name="TEST3" localSheetId="12">#REF!</definedName>
    <definedName name="TEST3" localSheetId="13">'SDGE Costs -ELRP'!#REF!</definedName>
    <definedName name="TEST3">#REF!</definedName>
    <definedName name="TEST4" localSheetId="8">#REF!</definedName>
    <definedName name="TEST4" localSheetId="12">#REF!</definedName>
    <definedName name="TEST4" localSheetId="13">'SDGE Costs -ELRP'!#REF!</definedName>
    <definedName name="TEST4">#REF!</definedName>
    <definedName name="TEST5" localSheetId="8">#REF!</definedName>
    <definedName name="TEST5" localSheetId="12">#REF!</definedName>
    <definedName name="TEST5" localSheetId="13">'SDGE Costs -ELRP'!#REF!</definedName>
    <definedName name="TEST5">#REF!</definedName>
    <definedName name="TEST6" localSheetId="8">#REF!</definedName>
    <definedName name="TEST6" localSheetId="12">#REF!</definedName>
    <definedName name="TEST6" localSheetId="13">'SDGE Costs -ELRP'!#REF!</definedName>
    <definedName name="TEST6">#REF!</definedName>
    <definedName name="TEST7" localSheetId="8">#REF!</definedName>
    <definedName name="TEST7" localSheetId="12">#REF!</definedName>
    <definedName name="TEST7" localSheetId="13">'SDGE Costs -ELRP'!#REF!</definedName>
    <definedName name="TEST7">#REF!</definedName>
    <definedName name="TEST8" localSheetId="8">#REF!</definedName>
    <definedName name="TEST8" localSheetId="12">#REF!</definedName>
    <definedName name="TEST8" localSheetId="13">'SDGE Costs -ELRP'!#REF!</definedName>
    <definedName name="TEST8">#REF!</definedName>
    <definedName name="TEST9" localSheetId="8">#REF!</definedName>
    <definedName name="TEST9" localSheetId="12">#REF!</definedName>
    <definedName name="TEST9" localSheetId="13">'SDGE Costs -ELRP'!#REF!</definedName>
    <definedName name="TEST9">#REF!</definedName>
    <definedName name="TESTHKEY" localSheetId="8">#REF!</definedName>
    <definedName name="TESTHKEY" localSheetId="12">#REF!</definedName>
    <definedName name="TESTHKEY" localSheetId="13">'SDGE Costs -ELRP'!#REF!</definedName>
    <definedName name="TESTHKEY">#REF!</definedName>
    <definedName name="TESTKEYS" localSheetId="8">#REF!</definedName>
    <definedName name="TESTKEYS" localSheetId="12">#REF!</definedName>
    <definedName name="TESTKEYS" localSheetId="13">'SDGE Costs -ELRP'!#REF!</definedName>
    <definedName name="TESTKEYS">#REF!</definedName>
    <definedName name="TESTVKEY" localSheetId="8">#REF!</definedName>
    <definedName name="TESTVKEY" localSheetId="12">#REF!</definedName>
    <definedName name="TESTVKEY" localSheetId="13">'SDGE Costs -ELRP'!#REF!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13">'SDGE Costs -ELRP'!#REF!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13">'SDGE Costs -ELRP'!#REF!</definedName>
    <definedName name="Voice_of_Customer" localSheetId="4">#REF!</definedName>
    <definedName name="Voice_of_Customer">#REF!</definedName>
    <definedName name="Z_E5DF83AA_DC53_4EBF_A523_33DA0FE284E8_.wvu.PrintArea" localSheetId="3" hidden="1">'Ex post LI &amp; Eligibility Stats'!$A$2:$O$28</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5" i="119" l="1"/>
  <c r="N46" i="119"/>
  <c r="N47" i="119"/>
  <c r="N11" i="117"/>
  <c r="H50" i="117"/>
  <c r="G39" i="119" l="1"/>
  <c r="N31" i="137" l="1"/>
  <c r="N27" i="137"/>
  <c r="B29" i="137"/>
  <c r="C29" i="137"/>
  <c r="N29" i="137" s="1"/>
  <c r="D29" i="137"/>
  <c r="E29" i="137"/>
  <c r="F29" i="137"/>
  <c r="G29" i="137"/>
  <c r="H29" i="137"/>
  <c r="I29" i="137"/>
  <c r="J29" i="137"/>
  <c r="K29" i="137"/>
  <c r="L29" i="137"/>
  <c r="M29" i="137"/>
  <c r="N23" i="137"/>
  <c r="B24" i="137"/>
  <c r="C24" i="137"/>
  <c r="D24" i="137"/>
  <c r="E24" i="137"/>
  <c r="F24" i="137"/>
  <c r="G24" i="137"/>
  <c r="H24" i="137"/>
  <c r="I24" i="137"/>
  <c r="J24" i="137"/>
  <c r="K24" i="137"/>
  <c r="L24" i="137"/>
  <c r="M24" i="137"/>
  <c r="N24" i="137"/>
  <c r="N12" i="137"/>
  <c r="B13" i="137"/>
  <c r="B32" i="137" s="1"/>
  <c r="C13" i="137"/>
  <c r="D13" i="137"/>
  <c r="D32" i="137" s="1"/>
  <c r="D33" i="137" s="1"/>
  <c r="E13" i="137"/>
  <c r="E32" i="137" s="1"/>
  <c r="E33" i="137" s="1"/>
  <c r="F13" i="137"/>
  <c r="F32" i="137" s="1"/>
  <c r="F33" i="137" s="1"/>
  <c r="G13" i="137"/>
  <c r="G32" i="137" s="1"/>
  <c r="G33" i="137" s="1"/>
  <c r="H13" i="137"/>
  <c r="H32" i="137" s="1"/>
  <c r="H33" i="137" s="1"/>
  <c r="I13" i="137"/>
  <c r="I32" i="137" s="1"/>
  <c r="J13" i="137"/>
  <c r="J32" i="137" s="1"/>
  <c r="K13" i="137"/>
  <c r="K32" i="137" s="1"/>
  <c r="L13" i="137"/>
  <c r="L32" i="137" s="1"/>
  <c r="M13" i="137"/>
  <c r="M32" i="137" s="1"/>
  <c r="N16" i="137"/>
  <c r="N17" i="137"/>
  <c r="N18" i="137"/>
  <c r="N19" i="137"/>
  <c r="B20" i="137"/>
  <c r="C20" i="137"/>
  <c r="N20" i="137" s="1"/>
  <c r="D20" i="137"/>
  <c r="E20" i="137"/>
  <c r="F20" i="137"/>
  <c r="G20" i="137"/>
  <c r="H20" i="137"/>
  <c r="I20" i="137"/>
  <c r="J20" i="137"/>
  <c r="K20" i="137"/>
  <c r="L20" i="137"/>
  <c r="M20" i="137"/>
  <c r="E5" i="137"/>
  <c r="H23" i="134"/>
  <c r="H36" i="131"/>
  <c r="H34" i="131"/>
  <c r="H23" i="131"/>
  <c r="H24" i="131"/>
  <c r="G35" i="117"/>
  <c r="N13" i="137" l="1"/>
  <c r="B33" i="137"/>
  <c r="C32" i="137"/>
  <c r="C33" i="137" s="1"/>
  <c r="G31" i="134"/>
  <c r="N33" i="137" l="1"/>
  <c r="N32" i="137"/>
  <c r="G36" i="131"/>
  <c r="G34" i="131"/>
  <c r="G23" i="131"/>
  <c r="G24" i="131"/>
  <c r="F13" i="131"/>
  <c r="F37" i="129"/>
  <c r="F36" i="131" l="1"/>
  <c r="F34" i="131"/>
  <c r="F23" i="131"/>
  <c r="F24" i="131"/>
  <c r="O36" i="117"/>
  <c r="E47" i="117"/>
  <c r="E46" i="117"/>
  <c r="D14" i="117"/>
  <c r="E14" i="117" s="1"/>
  <c r="E28" i="117"/>
  <c r="E29" i="117"/>
  <c r="E12" i="117"/>
  <c r="E11" i="117"/>
  <c r="E37" i="129" l="1"/>
  <c r="E36" i="131"/>
  <c r="E39" i="131"/>
  <c r="E34" i="131"/>
  <c r="E23" i="131"/>
  <c r="E24" i="131"/>
  <c r="D16" i="129"/>
  <c r="D13" i="129"/>
  <c r="D26" i="119"/>
  <c r="D25" i="119"/>
  <c r="D24" i="119"/>
  <c r="D22" i="119"/>
  <c r="D19" i="119"/>
  <c r="D21" i="119"/>
  <c r="D43" i="119"/>
  <c r="D17" i="119"/>
  <c r="D16" i="119"/>
  <c r="D42" i="119"/>
  <c r="D15" i="119"/>
  <c r="D13" i="119"/>
  <c r="D11" i="119"/>
  <c r="D39" i="119"/>
  <c r="D38" i="119"/>
  <c r="D10" i="119"/>
  <c r="D37" i="119"/>
  <c r="D9" i="119"/>
  <c r="D46" i="117"/>
  <c r="D45" i="117"/>
  <c r="E45" i="117" s="1"/>
  <c r="D44" i="117"/>
  <c r="E44" i="117" s="1"/>
  <c r="D34" i="117"/>
  <c r="E34" i="117" s="1"/>
  <c r="D35" i="117"/>
  <c r="D23" i="117"/>
  <c r="E23" i="117" s="1"/>
  <c r="D13" i="117"/>
  <c r="D12" i="117"/>
  <c r="D36" i="131" l="1"/>
  <c r="D34" i="131"/>
  <c r="D23" i="131"/>
  <c r="C37" i="129" l="1"/>
  <c r="C36" i="131"/>
  <c r="C34" i="131"/>
  <c r="C38" i="131"/>
  <c r="C39" i="131"/>
  <c r="C24" i="131"/>
  <c r="C23" i="131"/>
  <c r="B17" i="29" l="1"/>
  <c r="F22" i="33" l="1"/>
  <c r="H33" i="129" l="1"/>
  <c r="O15" i="117"/>
  <c r="B37" i="129" l="1"/>
  <c r="Q11" i="134" l="1"/>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1" i="134" l="1"/>
  <c r="O36" i="33" l="1"/>
  <c r="C4" i="57" l="1"/>
  <c r="L13" i="131"/>
  <c r="K13" i="131" l="1"/>
  <c r="N12" i="134"/>
  <c r="O12" i="134" s="1"/>
  <c r="N13" i="134"/>
  <c r="N14" i="134"/>
  <c r="O14" i="134" s="1"/>
  <c r="N15" i="134"/>
  <c r="O15" i="134" s="1"/>
  <c r="N16" i="134"/>
  <c r="O16" i="134" s="1"/>
  <c r="N17" i="134"/>
  <c r="O17" i="134" s="1"/>
  <c r="N18" i="134"/>
  <c r="O18" i="134" s="1"/>
  <c r="N19" i="134"/>
  <c r="O19" i="134" s="1"/>
  <c r="N20" i="134"/>
  <c r="O20" i="134" s="1"/>
  <c r="N21" i="134"/>
  <c r="O21" i="134" s="1"/>
  <c r="N22" i="134"/>
  <c r="O22" i="134" s="1"/>
  <c r="N11" i="134"/>
  <c r="O11" i="134" s="1"/>
  <c r="N23" i="134" l="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8" i="119"/>
  <c r="P46" i="117"/>
  <c r="P45" i="117"/>
  <c r="P44" i="117"/>
  <c r="L30" i="117"/>
  <c r="K30" i="117"/>
  <c r="J30" i="117"/>
  <c r="P48" i="117" l="1"/>
  <c r="N49" i="119"/>
  <c r="O13" i="134" l="1"/>
  <c r="O23" i="134" s="1"/>
  <c r="S44" i="33" l="1"/>
  <c r="R44" i="33"/>
  <c r="S43" i="33"/>
  <c r="R43" i="33"/>
  <c r="S42" i="33"/>
  <c r="R42" i="33"/>
  <c r="S41" i="33"/>
  <c r="R41" i="33"/>
  <c r="S40" i="33"/>
  <c r="R40" i="33"/>
  <c r="S39" i="33"/>
  <c r="R39" i="33"/>
  <c r="S38" i="33"/>
  <c r="R38" i="33"/>
  <c r="S37" i="33"/>
  <c r="R37" i="33"/>
  <c r="S36" i="33"/>
  <c r="R36" i="33"/>
  <c r="S34" i="33"/>
  <c r="R34" i="33"/>
  <c r="P44" i="33"/>
  <c r="O44" i="33"/>
  <c r="P43" i="33"/>
  <c r="O43" i="33"/>
  <c r="P42" i="33"/>
  <c r="O42" i="33"/>
  <c r="P41" i="33"/>
  <c r="O41" i="33"/>
  <c r="P40" i="33"/>
  <c r="O40" i="33"/>
  <c r="P39" i="33"/>
  <c r="O39" i="33"/>
  <c r="P38" i="33"/>
  <c r="O38" i="33"/>
  <c r="P37" i="33"/>
  <c r="O37" i="33"/>
  <c r="P36" i="33"/>
  <c r="L25" i="131" s="1"/>
  <c r="P34" i="33"/>
  <c r="O34" i="33"/>
  <c r="M44" i="33"/>
  <c r="L44" i="33"/>
  <c r="M43" i="33"/>
  <c r="L43" i="33"/>
  <c r="M42" i="33"/>
  <c r="L42" i="33"/>
  <c r="M41" i="33"/>
  <c r="L41" i="33"/>
  <c r="M40" i="33"/>
  <c r="L40" i="33"/>
  <c r="M39" i="33"/>
  <c r="L39" i="33"/>
  <c r="M38" i="33"/>
  <c r="L38" i="33"/>
  <c r="M37" i="33"/>
  <c r="L37" i="33"/>
  <c r="M36" i="33"/>
  <c r="K25" i="131" s="1"/>
  <c r="L36" i="33"/>
  <c r="M34" i="33"/>
  <c r="L34" i="33"/>
  <c r="J44" i="33"/>
  <c r="I44" i="33"/>
  <c r="J43" i="33"/>
  <c r="I43" i="33"/>
  <c r="J42" i="33"/>
  <c r="I42" i="33"/>
  <c r="J41" i="33"/>
  <c r="I41" i="33"/>
  <c r="J40" i="33"/>
  <c r="J39" i="33"/>
  <c r="J40" i="131" s="1"/>
  <c r="I39" i="33"/>
  <c r="J38" i="33"/>
  <c r="I38" i="33"/>
  <c r="J37" i="33"/>
  <c r="I37" i="33"/>
  <c r="J36" i="33"/>
  <c r="J25" i="131" s="1"/>
  <c r="I36" i="33"/>
  <c r="J34" i="33"/>
  <c r="I34" i="33"/>
  <c r="S31" i="33"/>
  <c r="R31" i="33"/>
  <c r="P31" i="33"/>
  <c r="O31" i="33"/>
  <c r="M31" i="33"/>
  <c r="L31" i="33"/>
  <c r="J31" i="33"/>
  <c r="I31" i="33"/>
  <c r="F31" i="33"/>
  <c r="C31" i="33"/>
  <c r="G31" i="33"/>
  <c r="L40" i="131" l="1"/>
  <c r="K40" i="131"/>
  <c r="G44" i="33"/>
  <c r="F44" i="33"/>
  <c r="G43" i="33"/>
  <c r="F43" i="33"/>
  <c r="G42" i="33"/>
  <c r="F42" i="33"/>
  <c r="G41" i="33"/>
  <c r="F41" i="33"/>
  <c r="G40" i="33"/>
  <c r="F40" i="33"/>
  <c r="G39" i="33"/>
  <c r="F39" i="33"/>
  <c r="G38" i="33"/>
  <c r="F38" i="33"/>
  <c r="G37" i="33"/>
  <c r="F37" i="33"/>
  <c r="G36" i="33"/>
  <c r="I25" i="131" s="1"/>
  <c r="F36" i="33"/>
  <c r="G34" i="33"/>
  <c r="F34" i="33"/>
  <c r="D36" i="33"/>
  <c r="H22" i="131" s="1"/>
  <c r="D37" i="33"/>
  <c r="H33" i="131" s="1"/>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N13" i="129" l="1"/>
  <c r="N14" i="129"/>
  <c r="N15" i="129"/>
  <c r="N16" i="129"/>
  <c r="S22" i="33" l="1"/>
  <c r="R22" i="33"/>
  <c r="S21" i="33"/>
  <c r="R21" i="33"/>
  <c r="S20" i="33"/>
  <c r="R20" i="33"/>
  <c r="S19" i="33"/>
  <c r="R19" i="33"/>
  <c r="S18" i="33"/>
  <c r="R18" i="33"/>
  <c r="S17" i="33"/>
  <c r="R17" i="33"/>
  <c r="S16" i="33"/>
  <c r="R16" i="33"/>
  <c r="S15" i="33"/>
  <c r="G33" i="131" s="1"/>
  <c r="R15" i="33"/>
  <c r="S14" i="33"/>
  <c r="G22" i="131" s="1"/>
  <c r="R14" i="33"/>
  <c r="S12" i="33"/>
  <c r="R12" i="33"/>
  <c r="S9" i="33"/>
  <c r="S10" i="33" s="1"/>
  <c r="R9" i="33"/>
  <c r="R10" i="33" s="1"/>
  <c r="G23" i="134" l="1"/>
  <c r="N15" i="117" l="1"/>
  <c r="N14" i="117"/>
  <c r="O14" i="117" s="1"/>
  <c r="N13" i="117"/>
  <c r="N12" i="117"/>
  <c r="O12" i="117" s="1"/>
  <c r="O13" i="117" l="1"/>
  <c r="D24" i="131"/>
  <c r="P9" i="33" l="1"/>
  <c r="O9" i="33"/>
  <c r="P22" i="33" l="1"/>
  <c r="O22" i="33"/>
  <c r="P21" i="33"/>
  <c r="O21" i="33"/>
  <c r="P20" i="33"/>
  <c r="O20" i="33"/>
  <c r="P19" i="33"/>
  <c r="O19" i="33"/>
  <c r="P18" i="33"/>
  <c r="O18" i="33"/>
  <c r="P17" i="33"/>
  <c r="O17" i="33"/>
  <c r="P16" i="33"/>
  <c r="O16" i="33"/>
  <c r="P15" i="33"/>
  <c r="O15" i="33"/>
  <c r="P14" i="33"/>
  <c r="O14" i="33"/>
  <c r="P12" i="33"/>
  <c r="O12" i="33"/>
  <c r="F33" i="131" l="1"/>
  <c r="F40" i="131" s="1"/>
  <c r="F22" i="131"/>
  <c r="F25" i="131" s="1"/>
  <c r="N23" i="33"/>
  <c r="F23" i="134" l="1"/>
  <c r="M40" i="131" l="1"/>
  <c r="I40" i="131"/>
  <c r="H40" i="131"/>
  <c r="G40" i="131"/>
  <c r="P10" i="33"/>
  <c r="M22" i="33" l="1"/>
  <c r="L22" i="33"/>
  <c r="M21" i="33"/>
  <c r="L21" i="33"/>
  <c r="M20" i="33"/>
  <c r="L20" i="33"/>
  <c r="M19" i="33"/>
  <c r="L19" i="33"/>
  <c r="M18" i="33"/>
  <c r="L18" i="33"/>
  <c r="M17" i="33"/>
  <c r="L17" i="33"/>
  <c r="M16" i="33"/>
  <c r="L16" i="33"/>
  <c r="M15" i="33"/>
  <c r="E33" i="131" s="1"/>
  <c r="L15" i="33"/>
  <c r="M14" i="33"/>
  <c r="E22" i="131" s="1"/>
  <c r="E25" i="131" s="1"/>
  <c r="L14" i="33"/>
  <c r="M12" i="33"/>
  <c r="L12" i="33"/>
  <c r="M9" i="33"/>
  <c r="M10" i="33" s="1"/>
  <c r="L9" i="33"/>
  <c r="L10" i="33" s="1"/>
  <c r="M23" i="33" l="1"/>
  <c r="M24" i="33" s="1"/>
  <c r="L23" i="33"/>
  <c r="L24" i="33" s="1"/>
  <c r="D39" i="131" l="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49" i="119" l="1"/>
  <c r="L49" i="119"/>
  <c r="K49" i="119"/>
  <c r="J49" i="119"/>
  <c r="I49" i="119"/>
  <c r="H49" i="119"/>
  <c r="G49" i="119"/>
  <c r="F49" i="119"/>
  <c r="E49" i="119"/>
  <c r="D49" i="119"/>
  <c r="C49" i="119"/>
  <c r="B49"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50" i="119" s="1"/>
  <c r="B52" i="119" s="1"/>
  <c r="Q15" i="134"/>
  <c r="Q23" i="134" s="1"/>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6" i="117"/>
  <c r="F15" i="33"/>
  <c r="G15" i="33"/>
  <c r="F16" i="33"/>
  <c r="G16" i="33"/>
  <c r="F17" i="33"/>
  <c r="G17" i="33"/>
  <c r="F18" i="33"/>
  <c r="D37" i="131" s="1"/>
  <c r="F19" i="33"/>
  <c r="D38" i="131" s="1"/>
  <c r="G18" i="33"/>
  <c r="E37" i="131" s="1"/>
  <c r="G19" i="33"/>
  <c r="E38" i="131" s="1"/>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Q48" i="117"/>
  <c r="Q16" i="117"/>
  <c r="G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F31" i="134"/>
  <c r="E31" i="134"/>
  <c r="D31" i="134"/>
  <c r="B31" i="134"/>
  <c r="M23" i="134"/>
  <c r="L23" i="134"/>
  <c r="K23" i="134"/>
  <c r="J23" i="134"/>
  <c r="I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50"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E40" i="131" l="1"/>
  <c r="O11" i="117"/>
  <c r="R11" i="117" s="1"/>
  <c r="P15" i="36"/>
  <c r="Q50" i="117"/>
  <c r="O19" i="117"/>
  <c r="O20" i="117" s="1"/>
  <c r="N20" i="117"/>
  <c r="N48" i="117"/>
  <c r="O24" i="117"/>
  <c r="R24" i="117" s="1"/>
  <c r="N24" i="117"/>
  <c r="N34" i="119"/>
  <c r="N50"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R36" i="117"/>
  <c r="R47" i="117"/>
  <c r="R45"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50" i="119"/>
  <c r="C52" i="119" s="1"/>
  <c r="Y13" i="36"/>
  <c r="E33" i="36"/>
  <c r="E42" i="36" s="1"/>
  <c r="F50" i="119"/>
  <c r="F52" i="119" s="1"/>
  <c r="D15" i="36"/>
  <c r="O15" i="36"/>
  <c r="L31" i="120"/>
  <c r="E36" i="129"/>
  <c r="E7" i="36"/>
  <c r="E15" i="36" s="1"/>
  <c r="Q7" i="36"/>
  <c r="Q15" i="36" s="1"/>
  <c r="Y7" i="36"/>
  <c r="H42" i="36"/>
  <c r="B31" i="120"/>
  <c r="H36" i="129"/>
  <c r="H37" i="129" s="1"/>
  <c r="L50" i="117"/>
  <c r="R14" i="117"/>
  <c r="N33" i="129"/>
  <c r="L50" i="119"/>
  <c r="I33" i="36"/>
  <c r="K31" i="120"/>
  <c r="F31" i="120"/>
  <c r="E31" i="120"/>
  <c r="B36" i="129"/>
  <c r="M36" i="129"/>
  <c r="L36" i="129"/>
  <c r="N14" i="120"/>
  <c r="O38" i="134"/>
  <c r="I50" i="117"/>
  <c r="C23" i="33"/>
  <c r="M50" i="119"/>
  <c r="E50" i="119"/>
  <c r="E52" i="119" s="1"/>
  <c r="G50" i="119"/>
  <c r="G52" i="119" s="1"/>
  <c r="J50" i="119"/>
  <c r="D50" i="119"/>
  <c r="D52" i="119" s="1"/>
  <c r="K50" i="119"/>
  <c r="Q24" i="33"/>
  <c r="C31" i="120"/>
  <c r="I36" i="129"/>
  <c r="D50" i="117"/>
  <c r="G50" i="117"/>
  <c r="G23" i="33"/>
  <c r="G24" i="33" s="1"/>
  <c r="B24" i="33"/>
  <c r="Q46" i="33"/>
  <c r="I7" i="36"/>
  <c r="I15" i="36" s="1"/>
  <c r="T15" i="36"/>
  <c r="Y33" i="36"/>
  <c r="Y42" i="36" s="1"/>
  <c r="M40" i="36"/>
  <c r="H50" i="119"/>
  <c r="H52" i="119" s="1"/>
  <c r="M31" i="120"/>
  <c r="I31" i="120"/>
  <c r="N22" i="120"/>
  <c r="C36" i="129"/>
  <c r="J36" i="129"/>
  <c r="G36" i="129"/>
  <c r="G37" i="129" s="1"/>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R12" i="117"/>
  <c r="B25" i="131"/>
  <c r="G31" i="120"/>
  <c r="N24" i="129"/>
  <c r="R23" i="33"/>
  <c r="S23" i="33"/>
  <c r="S24" i="33" s="1"/>
  <c r="N36" i="129" l="1"/>
  <c r="N52" i="119"/>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<sst xmlns="http://schemas.openxmlformats.org/spreadsheetml/2006/main" count="1447" uniqueCount="366">
  <si>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</si>
  <si>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</si>
  <si>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</si>
  <si>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</si>
  <si>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</si>
  <si>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</si>
  <si>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</si>
  <si>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</si>
  <si>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</si>
  <si>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</si>
  <si>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</si>
  <si>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</si>
  <si>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</si>
  <si>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</si>
  <si>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</si>
  <si>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</si>
  <si>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</si>
  <si>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</si>
  <si>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</si>
  <si>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</si>
  <si>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</si>
  <si>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</si>
  <si>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</si>
  <si>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</si>
  <si>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</si>
  <si>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</si>
  <si>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</si>
  <si>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</si>
  <si>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</si>
  <si>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</si>
  <si>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</si>
  <si>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</si>
  <si>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</si>
  <si>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</si>
  <si>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</si>
  <si>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</si>
  <si>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</si>
  <si>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</si>
  <si>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</si>
  <si>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</si>
  <si>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</si>
  <si>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</si>
  <si>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</si>
  <si>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</si>
  <si>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</si>
  <si>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</si>
  <si>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</si>
  <si>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</si>
  <si>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</si>
  <si>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</si>
  <si>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</si>
  <si>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</si>
  <si>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</si>
  <si>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</si>
  <si>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</si>
  <si>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</si>
  <si>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</si>
  <si>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</si>
  <si>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</si>
  <si>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</si>
  <si>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</si>
  <si>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</si>
  <si>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</si>
  <si>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</si>
  <si>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</si>
  <si>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</si>
  <si>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</si>
  <si>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</si>
  <si>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</si>
  <si>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</si>
  <si>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</si>
  <si>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</si>
  <si>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</si>
  <si>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</si>
  <si>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</si>
  <si>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</si>
  <si>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</si>
  <si>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</si>
  <si>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</si>
  <si>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</si>
  <si>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</si>
  <si>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</si>
  <si>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</si>
  <si>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</si>
  <si>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</si>
  <si>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</si>
  <si>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</si>
  <si>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</si>
  <si>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</si>
  <si>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</si>
  <si>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</si>
  <si>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</si>
  <si>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</si>
  <si>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</si>
  <si>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</si>
  <si>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</si>
  <si>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</si>
  <si>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</si>
  <si>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</si>
  <si>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</si>
  <si>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</si>
  <si>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</si>
  <si>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</si>
  <si>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</si>
  <si>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</si>
  <si>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</si>
  <si>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</si>
  <si>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</si>
  <si>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</si>
  <si>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</si>
  <si>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</si>
  <si>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</si>
  <si>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</si>
  <si>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</si>
  <si>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</si>
  <si>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</si>
  <si>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</si>
  <si>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</si>
  <si>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</si>
  <si>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</si>
  <si>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</si>
  <si>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</si>
  <si>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</si>
  <si>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</si>
  <si>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</si>
  <si>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</si>
  <si>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</si>
  <si>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</si>
  <si>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</si>
  <si>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</si>
  <si>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</si>
  <si>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</si>
  <si>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</si>
  <si>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</si>
  <si>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</si>
  <si>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</si>
  <si>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</si>
  <si>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</si>
  <si>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</si>
  <si>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</si>
  <si>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</si>
  <si>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</si>
  <si>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</si>
  <si>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</si>
  <si>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</si>
  <si>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</si>
  <si>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</si>
  <si>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</si>
  <si>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</si>
  <si>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</si>
  <si>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</si>
  <si>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</si>
  <si>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</si>
  <si>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</si>
  <si>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</si>
  <si>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</si>
  <si>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</si>
  <si>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</si>
  <si>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</si>
  <si>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</si>
  <si>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</si>
  <si>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</si>
  <si>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</si>
  <si>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</si>
  <si>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</si>
  <si>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</si>
  <si>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</si>
  <si>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</si>
  <si>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</si>
  <si>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</si>
  <si>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</si>
  <si>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</si>
  <si>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</si>
  <si>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</si>
  <si>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</si>
  <si>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</si>
  <si>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</si>
  <si>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</si>
  <si>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</si>
  <si>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</si>
  <si>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</si>
  <si>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</si>
  <si>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</si>
  <si>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</si>
  <si>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</si>
  <si>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</si>
  <si>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</si>
  <si>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</si>
  <si>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</si>
  <si>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</si>
  <si>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</si>
  <si>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</si>
  <si>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</si>
  <si>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</si>
  <si>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</si>
  <si>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</si>
  <si>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</si>
  <si>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</si>
  <si>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</si>
  <si>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</si>
  <si>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</si>
  <si>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</si>
  <si>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</si>
  <si>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</si>
  <si>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</si>
  <si>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</si>
  <si>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</si>
  <si>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</si>
  <si>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</si>
  <si>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</si>
  <si>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</si>
  <si>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</si>
  <si>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</si>
  <si>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</si>
  <si>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</si>
  <si>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</si>
  <si>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</si>
  <si>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</si>
  <si>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</si>
  <si>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</si>
  <si>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</si>
  <si>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</si>
  <si>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</si>
  <si>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</si>
  <si>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</si>
  <si>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</si>
  <si>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</si>
  <si>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</si>
  <si>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</si>
  <si>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</si>
  <si>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</si>
  <si>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</si>
  <si>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</si>
  <si>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</si>
  <si>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</si>
  <si>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</si>
  <si>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</si>
  <si>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</si>
  <si>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</si>
  <si>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</si>
  <si>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</si>
  <si>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</si>
  <si>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</si>
  <si>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</si>
  <si>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</si>
  <si>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</si>
  <si>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</si>
  <si>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</si>
  <si>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</si>
  <si>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CPP-D, TOU-DR-P (Voluntary Residential) and TOU-A-P (Small Commercial) ex-ante estimates include Technology Deployment (TD).</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</si>
  <si>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</si>
  <si>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</si>
  <si>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</si>
  <si>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</si>
  <si>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</si>
  <si>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</si>
  <si>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</si>
  <si>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</si>
  <si>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</si>
  <si>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</si>
  <si>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</si>
  <si>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</si>
  <si>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</si>
  <si>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</si>
  <si>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</si>
  <si>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</si>
  <si>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</si>
  <si>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</si>
  <si>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</si>
  <si>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</si>
  <si>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</si>
  <si>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</si>
  <si>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</si>
  <si>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</si>
  <si>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</si>
  <si>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</si>
  <si>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</si>
  <si>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</si>
  <si>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</si>
  <si>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</si>
  <si>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</si>
  <si>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</si>
  <si>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</si>
  <si>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</si>
  <si>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</si>
  <si>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</si>
  <si>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</si>
  <si>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</si>
  <si>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</si>
  <si>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t>Program Cycle to Date (2018 - 2021)</t>
  </si>
  <si>
    <t>-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t>
  </si>
  <si>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</si>
  <si>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The Ex-Ante average per customer estimates are based on Program Year 2020 SDG&amp;E DR Load Impacts report filed April 1st, 2021 for the months of March thru December.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</si>
  <si>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The Ex-Post average per customer estimates are based on Program Year 2020 SDG&amp;E DR Load Impacts report filed April 1st, 2021 for the months of March thru December. </t>
    </r>
  </si>
  <si>
    <r>
      <t xml:space="preserve">IDSM DR COM </t>
    </r>
    <r>
      <rPr>
        <vertAlign val="superscript"/>
        <sz val="9"/>
        <color rgb="FFFF0000"/>
        <rFont val="Arial"/>
        <family val="2"/>
      </rPr>
      <t>1,2</t>
    </r>
  </si>
  <si>
    <r>
      <t xml:space="preserve">Local Capacity Requirements (LCR) </t>
    </r>
    <r>
      <rPr>
        <vertAlign val="superscript"/>
        <sz val="9"/>
        <color rgb="FFFF0000"/>
        <rFont val="Arial"/>
        <family val="2"/>
      </rPr>
      <t>1</t>
    </r>
  </si>
  <si>
    <r>
      <rPr>
        <vertAlign val="superscript"/>
        <sz val="10"/>
        <color rgb="FFFF0000"/>
        <rFont val="Arial"/>
        <family val="2"/>
      </rPr>
      <t>1</t>
    </r>
    <r>
      <rPr>
        <vertAlign val="superscript"/>
        <sz val="10"/>
        <rFont val="Arial"/>
        <family val="2"/>
      </rPr>
      <t xml:space="preserve"> </t>
    </r>
    <r>
      <rPr>
        <sz val="10"/>
        <rFont val="Arial"/>
        <family val="2"/>
      </rPr>
      <t>February credits are related to accrual reversals related to a prior period expense (January 2021).</t>
    </r>
  </si>
  <si>
    <r>
      <rPr>
        <vertAlign val="superscript"/>
        <sz val="10"/>
        <color rgb="FFFF0000"/>
        <rFont val="Arial"/>
        <family val="2"/>
      </rPr>
      <t>2</t>
    </r>
    <r>
      <rPr>
        <sz val="10"/>
        <rFont val="Arial"/>
        <family val="2"/>
      </rPr>
      <t xml:space="preserve"> March Credit is related to a discount received on services purchased in a prior period.</t>
    </r>
  </si>
  <si>
    <t>-  Capacity Bidding Program reports the number of nominations not enrollments.</t>
  </si>
  <si>
    <r>
      <t>Technology Incentives</t>
    </r>
    <r>
      <rPr>
        <vertAlign val="superscript"/>
        <sz val="10"/>
        <color rgb="FFFF0000"/>
        <rFont val="Arial"/>
        <family val="2"/>
      </rPr>
      <t xml:space="preserve"> </t>
    </r>
    <r>
      <rPr>
        <b/>
        <vertAlign val="superscript"/>
        <sz val="10"/>
        <color rgb="FFFF0000"/>
        <rFont val="Arial"/>
        <family val="2"/>
      </rPr>
      <t>3</t>
    </r>
  </si>
  <si>
    <r>
      <t>Smart Pricing</t>
    </r>
    <r>
      <rPr>
        <vertAlign val="superscript"/>
        <sz val="10"/>
        <color rgb="FFFF0000"/>
        <rFont val="Arial"/>
        <family val="2"/>
      </rPr>
      <t xml:space="preserve"> </t>
    </r>
    <r>
      <rPr>
        <b/>
        <vertAlign val="superscript"/>
        <sz val="10"/>
        <color rgb="FFFF0000"/>
        <rFont val="Arial"/>
        <family val="2"/>
      </rPr>
      <t>3</t>
    </r>
  </si>
  <si>
    <r>
      <rPr>
        <vertAlign val="superscript"/>
        <sz val="10"/>
        <color rgb="FFFF0000"/>
        <rFont val="Arial"/>
        <family val="2"/>
      </rPr>
      <t>3</t>
    </r>
    <r>
      <rPr>
        <sz val="10"/>
        <rFont val="Arial"/>
        <family val="2"/>
      </rPr>
      <t xml:space="preserve"> April Bill credits for BIP were not posted as a result of Reporting outages related to Envision Cross Over.</t>
    </r>
  </si>
  <si>
    <r>
      <t xml:space="preserve">Labor </t>
    </r>
    <r>
      <rPr>
        <b/>
        <vertAlign val="superscript"/>
        <sz val="10"/>
        <color rgb="FFFF0000"/>
        <rFont val="Arial"/>
        <family val="2"/>
      </rPr>
      <t>4</t>
    </r>
  </si>
  <si>
    <r>
      <t>Demand Response Auction Mechanism Pilot (DRAM)</t>
    </r>
    <r>
      <rPr>
        <vertAlign val="superscript"/>
        <sz val="10"/>
        <color rgb="FFFF0000"/>
        <rFont val="Arial"/>
        <family val="2"/>
      </rPr>
      <t xml:space="preserve"> 3</t>
    </r>
  </si>
  <si>
    <r>
      <rPr>
        <b/>
        <vertAlign val="superscript"/>
        <sz val="11"/>
        <color rgb="FFFF0000"/>
        <rFont val="Arial"/>
        <family val="2"/>
      </rPr>
      <t>1</t>
    </r>
    <r>
      <rPr>
        <sz val="11"/>
        <rFont val="Arial"/>
        <family val="2"/>
      </rPr>
      <t xml:space="preserve"> BIP total does not include April bill credits as a result of Reporting outages related to Envision Cross Over.</t>
    </r>
  </si>
  <si>
    <r>
      <rPr>
        <vertAlign val="superscript"/>
        <sz val="11"/>
        <color rgb="FFFF0000"/>
        <rFont val="Arial"/>
        <family val="2"/>
      </rPr>
      <t>2</t>
    </r>
    <r>
      <rPr>
        <sz val="11"/>
        <rFont val="Arial"/>
        <family val="2"/>
      </rPr>
      <t xml:space="preserve"> BIP April total of $6,695 was revised to include April bill credits of $1,935 that were posted in a different reporting period as a result of the Envision Cross Over.</t>
    </r>
  </si>
  <si>
    <r>
      <rPr>
        <vertAlign val="superscript"/>
        <sz val="11"/>
        <color rgb="FFFF0000"/>
        <rFont val="Arial"/>
        <family val="2"/>
      </rPr>
      <t>3</t>
    </r>
    <r>
      <rPr>
        <sz val="11"/>
        <rFont val="Arial"/>
        <family val="2"/>
      </rPr>
      <t xml:space="preserve"> May credits are a result of accrual reversals that occurred in prior reporting period (April).</t>
    </r>
  </si>
  <si>
    <r>
      <rPr>
        <b/>
        <vertAlign val="superscript"/>
        <sz val="11"/>
        <color rgb="FFFF0000"/>
        <rFont val="Arial"/>
        <family val="2"/>
      </rPr>
      <t>3</t>
    </r>
    <r>
      <rPr>
        <sz val="11"/>
        <rFont val="Arial"/>
        <family val="2"/>
      </rPr>
      <t xml:space="preserve"> April credits are related to accrual reversals that occurred in a previous reporting period (March).</t>
    </r>
  </si>
  <si>
    <r>
      <rPr>
        <b/>
        <vertAlign val="superscript"/>
        <sz val="11"/>
        <color rgb="FFFF0000"/>
        <rFont val="Arial"/>
        <family val="2"/>
      </rPr>
      <t xml:space="preserve">4 </t>
    </r>
    <r>
      <rPr>
        <sz val="11"/>
        <rFont val="Arial"/>
        <family val="2"/>
      </rPr>
      <t>May credits are related to labor reversals to reflect proper labor allocation.</t>
    </r>
  </si>
  <si>
    <r>
      <t xml:space="preserve">EM&amp;V </t>
    </r>
    <r>
      <rPr>
        <vertAlign val="superscript"/>
        <sz val="9"/>
        <color rgb="FFFF0000"/>
        <rFont val="Arial"/>
        <family val="2"/>
      </rPr>
      <t>6</t>
    </r>
  </si>
  <si>
    <r>
      <t xml:space="preserve">Base Interruptible Program (BIP) </t>
    </r>
    <r>
      <rPr>
        <b/>
        <vertAlign val="superscript"/>
        <sz val="9"/>
        <color rgb="FFFF0000"/>
        <rFont val="Arial"/>
        <family val="2"/>
      </rPr>
      <t>3</t>
    </r>
    <r>
      <rPr>
        <vertAlign val="superscript"/>
        <sz val="9"/>
        <color rgb="FFFF0000"/>
        <rFont val="Arial"/>
        <family val="2"/>
      </rPr>
      <t>,4</t>
    </r>
  </si>
  <si>
    <r>
      <rPr>
        <vertAlign val="superscript"/>
        <sz val="10"/>
        <color rgb="FFFF0000"/>
        <rFont val="Arial"/>
        <family val="2"/>
      </rPr>
      <t>5</t>
    </r>
    <r>
      <rPr>
        <sz val="10"/>
        <rFont val="Arial"/>
        <family val="2"/>
      </rPr>
      <t xml:space="preserve"> May incentive credits are a result of accrual reversals that occurred in prior reporting period (April).</t>
    </r>
  </si>
  <si>
    <r>
      <rPr>
        <vertAlign val="superscript"/>
        <sz val="10"/>
        <color rgb="FFFF0000"/>
        <rFont val="Arial"/>
        <family val="2"/>
      </rPr>
      <t xml:space="preserve">6 </t>
    </r>
    <r>
      <rPr>
        <sz val="10"/>
        <rFont val="Arial"/>
        <family val="2"/>
      </rPr>
      <t>EM&amp;V charges for May include a misclassification of incentive payment.  This charge is pending a journal entry to reclassify $540 to the correct cost type and will be reflected in June Report.</t>
    </r>
  </si>
  <si>
    <t>AC Saver DO (Summer Saver) Commercial</t>
  </si>
  <si>
    <t>Heat Rate</t>
  </si>
  <si>
    <t>6:00pm-8:00pm</t>
  </si>
  <si>
    <t>AC Saver DO (Summer Saver) Residential</t>
  </si>
  <si>
    <t>CBP Day Ahead 11-7</t>
  </si>
  <si>
    <t>Market Price</t>
  </si>
  <si>
    <t>4:00pm-7:00pm</t>
  </si>
  <si>
    <t>CBP Day Ahead 1-9</t>
  </si>
  <si>
    <t>CBP Day Of 1-9</t>
  </si>
  <si>
    <t>Real Time Price</t>
  </si>
  <si>
    <t>5:00pm-7:00pm</t>
  </si>
  <si>
    <t>AC Saver DA Residential</t>
  </si>
  <si>
    <t>6:00pm-9:00pm</t>
  </si>
  <si>
    <t>Temperature and System Load</t>
  </si>
  <si>
    <t>3:00pm-7:00pm</t>
  </si>
  <si>
    <t>5:00pm-9:00pm</t>
  </si>
  <si>
    <t>7:00pm-9:00pm</t>
  </si>
  <si>
    <t>-  Count of Service Accounts reported for TOU-PA-P Agricultural, TOU-A-P Small Commercial and TOU-DR-P Voluntary Residential for April 2021 includes accounts enrolled through May 13, 2021 due to Envision cutover data validation activities.</t>
  </si>
  <si>
    <t>-  The reduction in the number of customers on AC Saver Day-Ahead Commercial in March is due to the un-enrollment of customer with thermostat that had been offline for more then 18 months.</t>
  </si>
  <si>
    <t>- The TOU-PA-P Agricultural Ex-Post average per customer estimates are based on Program Year 2020 draft SDG&amp;E DR Load Impacts report for the months of January and February. The draft ex-post estimates show an increase load impact of (-0.06kW), therefore the estimates were converted to zero.</t>
  </si>
  <si>
    <r>
      <t xml:space="preserve">General Admin </t>
    </r>
    <r>
      <rPr>
        <vertAlign val="superscript"/>
        <sz val="9"/>
        <color rgb="FFFF0000"/>
        <rFont val="Arial"/>
        <family val="2"/>
      </rPr>
      <t>7</t>
    </r>
  </si>
  <si>
    <r>
      <rPr>
        <vertAlign val="superscript"/>
        <sz val="10"/>
        <color rgb="FFFF0000"/>
        <rFont val="Arial"/>
        <family val="2"/>
      </rPr>
      <t>7</t>
    </r>
    <r>
      <rPr>
        <sz val="10"/>
        <rFont val="Arial"/>
        <family val="2"/>
      </rPr>
      <t xml:space="preserve"> EM&amp;V charges for May include a misclassification of incentive payment, charge was corrected using incorrect program IO to reclassify $540 to the correct cost type. Correction will be reflected in July Reporting.</t>
    </r>
  </si>
  <si>
    <t xml:space="preserve">-  The reduction in the number of customer on AC Saver day-ahead residential in June, is due to approximately 2,500 customers with Google-Nest devices did not agree to the new Google terms and conditions. </t>
  </si>
  <si>
    <t>July 2021</t>
  </si>
  <si>
    <r>
      <t>Base Interruptible Program (BIP)</t>
    </r>
    <r>
      <rPr>
        <b/>
        <vertAlign val="superscript"/>
        <sz val="10"/>
        <color rgb="FFFF0000"/>
        <rFont val="Arial"/>
        <family val="2"/>
      </rPr>
      <t xml:space="preserve"> 1</t>
    </r>
    <r>
      <rPr>
        <vertAlign val="superscript"/>
        <sz val="10"/>
        <color rgb="FFFF0000"/>
        <rFont val="Arial"/>
        <family val="2"/>
      </rPr>
      <t>,</t>
    </r>
    <r>
      <rPr>
        <b/>
        <vertAlign val="superscript"/>
        <sz val="10"/>
        <color rgb="FFFF0000"/>
        <rFont val="Arial"/>
        <family val="2"/>
      </rPr>
      <t>2</t>
    </r>
    <r>
      <rPr>
        <vertAlign val="superscript"/>
        <sz val="10"/>
        <color rgb="FFFF0000"/>
        <rFont val="Arial"/>
        <family val="2"/>
      </rPr>
      <t>,4</t>
    </r>
  </si>
  <si>
    <t>SAN DIEGO GAS &amp; ELECTRIC COMPANY REPORT ON INTERRUPTIBLE LOAD AND DEMAND RESPONSE EMERGENCY</t>
  </si>
  <si>
    <t>Program in Emergency Loadshed Reduction Balancing Account</t>
  </si>
  <si>
    <t>ELRP</t>
  </si>
  <si>
    <t>ELRP Tax</t>
  </si>
  <si>
    <t>ELRP Property Tax</t>
  </si>
  <si>
    <t>Total ELRP Program Costs</t>
  </si>
  <si>
    <t>Total ELRP Program Costs with Interest</t>
  </si>
  <si>
    <r>
      <t xml:space="preserve">   Over Generation Pilot (OGP) </t>
    </r>
    <r>
      <rPr>
        <vertAlign val="superscript"/>
        <sz val="10"/>
        <color rgb="FFFF0000"/>
        <rFont val="Arial"/>
        <family val="2"/>
      </rPr>
      <t>5</t>
    </r>
  </si>
  <si>
    <r>
      <t>Over Gen Pilot</t>
    </r>
    <r>
      <rPr>
        <vertAlign val="superscript"/>
        <sz val="9"/>
        <color rgb="FFFF0000"/>
        <rFont val="Arial"/>
        <family val="2"/>
      </rPr>
      <t xml:space="preserve"> 8</t>
    </r>
  </si>
  <si>
    <r>
      <t>SW-COM</t>
    </r>
    <r>
      <rPr>
        <vertAlign val="superscript"/>
        <sz val="9"/>
        <color rgb="FFFF0000"/>
        <rFont val="Arial"/>
        <family val="2"/>
      </rPr>
      <t xml:space="preserve"> 9</t>
    </r>
  </si>
  <si>
    <r>
      <t>Demand Response Auction Mechanism (DRAM)</t>
    </r>
    <r>
      <rPr>
        <vertAlign val="superscript"/>
        <sz val="9"/>
        <color rgb="FFFF0000"/>
        <rFont val="Arial"/>
        <family val="2"/>
      </rPr>
      <t xml:space="preserve"> </t>
    </r>
    <r>
      <rPr>
        <b/>
        <vertAlign val="superscript"/>
        <sz val="9"/>
        <color rgb="FFFF0000"/>
        <rFont val="Arial"/>
        <family val="2"/>
      </rPr>
      <t>5</t>
    </r>
    <r>
      <rPr>
        <vertAlign val="superscript"/>
        <sz val="9"/>
        <color rgb="FFFF0000"/>
        <rFont val="Arial"/>
        <family val="2"/>
      </rPr>
      <t>,9</t>
    </r>
  </si>
  <si>
    <r>
      <t>CPP-D</t>
    </r>
    <r>
      <rPr>
        <vertAlign val="superscript"/>
        <sz val="10"/>
        <color rgb="FFFF0000"/>
        <rFont val="Arial"/>
        <family val="2"/>
      </rPr>
      <t xml:space="preserve"> 1</t>
    </r>
  </si>
  <si>
    <r>
      <t xml:space="preserve">Rule 32 Click-Through </t>
    </r>
    <r>
      <rPr>
        <vertAlign val="superscript"/>
        <sz val="10"/>
        <color rgb="FFFF0000"/>
        <rFont val="Arial"/>
        <family val="2"/>
      </rPr>
      <t>1,5</t>
    </r>
  </si>
  <si>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</si>
  <si>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</si>
  <si>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r>
      <rPr>
        <sz val="8"/>
        <color rgb="FFFF0000"/>
        <rFont val="Arial"/>
        <family val="2"/>
      </rPr>
      <t xml:space="preserve">3 </t>
    </r>
    <r>
      <rPr>
        <sz val="11"/>
        <color rgb="FF444444"/>
        <rFont val="Arial"/>
        <family val="2"/>
      </rPr>
      <t xml:space="preserve"> Due to time differences in our new and old customer information systems event performance has been revised from June 2021 report.</t>
    </r>
  </si>
  <si>
    <t>-  CPP-D (Large and Medium Customers) service account numbers for Jan, Feb, and March 2021 are being rechecked. The reason is due to IT conversion data issues.  These should be corrected in next months Aug 2021 report.</t>
  </si>
  <si>
    <t>-  BIP service accounts for April and May were updated in August 2021 to denote a customer who unenrolled from the program.</t>
  </si>
  <si>
    <r>
      <rPr>
        <vertAlign val="superscript"/>
        <sz val="10"/>
        <color rgb="FFFF0000"/>
        <rFont val="Arial"/>
        <family val="2"/>
      </rPr>
      <t xml:space="preserve">8 </t>
    </r>
    <r>
      <rPr>
        <sz val="10"/>
        <rFont val="Arial"/>
        <family val="2"/>
      </rPr>
      <t>July Credits are due to labor reversals.</t>
    </r>
  </si>
  <si>
    <r>
      <rPr>
        <vertAlign val="superscript"/>
        <sz val="10"/>
        <color rgb="FFFF0000"/>
        <rFont val="Arial"/>
        <family val="2"/>
      </rPr>
      <t xml:space="preserve">9 </t>
    </r>
    <r>
      <rPr>
        <sz val="10"/>
        <rFont val="Arial"/>
        <family val="2"/>
      </rPr>
      <t>July Credits are due to accrual reversals.</t>
    </r>
  </si>
  <si>
    <r>
      <rPr>
        <vertAlign val="superscript"/>
        <sz val="11"/>
        <color rgb="FFFF0000"/>
        <rFont val="Arial"/>
        <family val="2"/>
      </rPr>
      <t xml:space="preserve">5 </t>
    </r>
    <r>
      <rPr>
        <sz val="11"/>
        <rFont val="Arial"/>
        <family val="2"/>
      </rPr>
      <t>July Credits are due to labor reversals.</t>
    </r>
  </si>
  <si>
    <r>
      <rPr>
        <vertAlign val="superscript"/>
        <sz val="11"/>
        <color rgb="FFFF0000"/>
        <rFont val="Arial"/>
        <family val="2"/>
      </rPr>
      <t>4</t>
    </r>
    <r>
      <rPr>
        <sz val="11"/>
        <rFont val="Arial"/>
        <family val="2"/>
      </rPr>
      <t xml:space="preserve"> June BIP incentives were adjusted to exclude $783.50 that was reversed in Envision.</t>
    </r>
  </si>
  <si>
    <r>
      <rPr>
        <vertAlign val="superscript"/>
        <sz val="11"/>
        <color rgb="FFFF0000"/>
        <rFont val="Arial"/>
        <family val="2"/>
      </rPr>
      <t xml:space="preserve">1 </t>
    </r>
    <r>
      <rPr>
        <sz val="11"/>
        <rFont val="Arial"/>
        <family val="2"/>
      </rPr>
      <t>July credits are due to accrual reversals and labor corrections.</t>
    </r>
  </si>
  <si>
    <r>
      <rPr>
        <vertAlign val="superscript"/>
        <sz val="11"/>
        <color rgb="FFFF0000"/>
        <rFont val="Arial"/>
        <family val="2"/>
      </rPr>
      <t xml:space="preserve">5 </t>
    </r>
    <r>
      <rPr>
        <sz val="11"/>
        <rFont val="Arial"/>
        <family val="2"/>
      </rPr>
      <t xml:space="preserve">July Credits are due to accrual reversals. </t>
    </r>
  </si>
  <si>
    <t>ELRP was approved in Decision 21.02.006.</t>
  </si>
  <si>
    <t>LOADSHED REDUCTION PROGRAM (ELRP) BALANCING ACCOUNT ($000)</t>
  </si>
  <si>
    <t xml:space="preserve"> - The "TOU-DR-P Voluntary Residential" and “TOU-A-P Small Commercial” service accounts numbers were inadvertently reported on the wrong row January through June.  This report has been corrected to reflect the service account numbers for both programs. </t>
  </si>
  <si>
    <r>
      <rPr>
        <vertAlign val="superscript"/>
        <sz val="10"/>
        <color rgb="FFFF0000"/>
        <rFont val="Arial"/>
        <family val="2"/>
      </rPr>
      <t>4</t>
    </r>
    <r>
      <rPr>
        <sz val="10"/>
        <rFont val="Arial"/>
        <family val="2"/>
      </rPr>
      <t xml:space="preserve"> BIP April Incentive total was revised to include April bill credits of $1,935 that were posted in a different reporting period as a result of the Envision Cross Over. June BIP incentives were adjusted to exclude $783.50 that was reversed in Envision.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</si>
</sst>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 numFmtId="177" formatCode="_(* #,##0.00_);_(* \(#,##0.00\);_(* &quot;-&quot;_);_(@_)"/>
    <numFmt numFmtId="178" formatCode="_(&quot;$&quot;* #,##0.0_);_(&quot;$&quot;* \(#,##0.0\);_(&quot;$&quot;* &quot;-&quot;?_);_(@_)"/>
    <numFmt numFmtId="179" formatCode="_(&quot;$&quot;* #,##0.00_);_(&quot;$&quot;* \(#,##0.00\);_(&quot;$&quot;* &quot;-&quot;_);_(@_)"/>
  </numFmts>
  <fonts count="1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b/>
      <vertAlign val="superscript"/>
      <sz val="11"/>
      <color rgb="FFFF0000"/>
      <name val="Arial"/>
      <family val="2"/>
    </font>
    <font>
      <sz val="11"/>
      <color rgb="FF444444"/>
      <name val="Arial"/>
      <family val="2"/>
    </font>
    <font>
      <strike/>
      <sz val="11"/>
      <color indexed="8"/>
      <name val="Arial"/>
      <family val="2"/>
    </font>
    <font>
      <sz val="10"/>
      <name val="Arial"/>
    </font>
    <font>
      <sz val="8"/>
      <color rgb="FF444444"/>
      <name val="Arial"/>
      <family val="2"/>
    </font>
    <font>
      <sz val="8"/>
      <color rgb="FFFF0000"/>
      <name val="Arial"/>
      <family val="2"/>
    </font>
  </fonts>
  <fills count="12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s>
  <borders count="1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5686">
    <xf numFmtId="175" fontId="0" fillId="0" borderId="0"/>
    <xf numFmtId="175" fontId="20" fillId="2" borderId="0" applyNumberFormat="0" applyBorder="0" applyAlignment="0" applyProtection="0"/>
    <xf numFmtId="175" fontId="20" fillId="3" borderId="0" applyNumberFormat="0" applyBorder="0" applyAlignment="0" applyProtection="0"/>
    <xf numFmtId="175" fontId="20" fillId="4" borderId="0" applyNumberFormat="0" applyBorder="0" applyAlignment="0" applyProtection="0"/>
    <xf numFmtId="175" fontId="20" fillId="5" borderId="0" applyNumberFormat="0" applyBorder="0" applyAlignment="0" applyProtection="0"/>
    <xf numFmtId="175" fontId="20" fillId="6" borderId="0" applyNumberFormat="0" applyBorder="0" applyAlignment="0" applyProtection="0"/>
    <xf numFmtId="175" fontId="20" fillId="7" borderId="0" applyNumberFormat="0" applyBorder="0" applyAlignment="0" applyProtection="0"/>
    <xf numFmtId="175" fontId="20" fillId="8" borderId="0" applyNumberFormat="0" applyBorder="0" applyAlignment="0" applyProtection="0"/>
    <xf numFmtId="175" fontId="20" fillId="3" borderId="0" applyNumberFormat="0" applyBorder="0" applyAlignment="0" applyProtection="0"/>
    <xf numFmtId="175" fontId="20" fillId="9" borderId="0" applyNumberFormat="0" applyBorder="0" applyAlignment="0" applyProtection="0"/>
    <xf numFmtId="175" fontId="20" fillId="10" borderId="0" applyNumberFormat="0" applyBorder="0" applyAlignment="0" applyProtection="0"/>
    <xf numFmtId="175" fontId="20" fillId="8" borderId="0" applyNumberFormat="0" applyBorder="0" applyAlignment="0" applyProtection="0"/>
    <xf numFmtId="175" fontId="20"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3" fillId="13" borderId="0" applyNumberFormat="0" applyBorder="0" applyAlignment="0" applyProtection="0"/>
    <xf numFmtId="175" fontId="23" fillId="14" borderId="0" applyNumberFormat="0" applyBorder="0" applyAlignment="0" applyProtection="0"/>
    <xf numFmtId="175" fontId="22" fillId="15" borderId="0" applyNumberFormat="0" applyBorder="0" applyAlignment="0" applyProtection="0"/>
    <xf numFmtId="175" fontId="22" fillId="16" borderId="0" applyNumberFormat="0" applyBorder="0" applyAlignment="0" applyProtection="0"/>
    <xf numFmtId="175" fontId="23" fillId="17" borderId="0" applyNumberFormat="0" applyBorder="0" applyAlignment="0" applyProtection="0"/>
    <xf numFmtId="175" fontId="23" fillId="18" borderId="0" applyNumberFormat="0" applyBorder="0" applyAlignment="0" applyProtection="0"/>
    <xf numFmtId="175" fontId="22" fillId="19" borderId="0" applyNumberFormat="0" applyBorder="0" applyAlignment="0" applyProtection="0"/>
    <xf numFmtId="175" fontId="22" fillId="19" borderId="0" applyNumberFormat="0" applyBorder="0" applyAlignment="0" applyProtection="0"/>
    <xf numFmtId="175" fontId="23" fillId="20" borderId="0" applyNumberFormat="0" applyBorder="0" applyAlignment="0" applyProtection="0"/>
    <xf numFmtId="175" fontId="23" fillId="21" borderId="0" applyNumberFormat="0" applyBorder="0" applyAlignment="0" applyProtection="0"/>
    <xf numFmtId="175" fontId="22" fillId="22" borderId="0" applyNumberFormat="0" applyBorder="0" applyAlignment="0" applyProtection="0"/>
    <xf numFmtId="175" fontId="22" fillId="23" borderId="0" applyNumberFormat="0" applyBorder="0" applyAlignment="0" applyProtection="0"/>
    <xf numFmtId="175" fontId="23" fillId="21" borderId="0" applyNumberFormat="0" applyBorder="0" applyAlignment="0" applyProtection="0"/>
    <xf numFmtId="175" fontId="23" fillId="22" borderId="0" applyNumberFormat="0" applyBorder="0" applyAlignment="0" applyProtection="0"/>
    <xf numFmtId="175" fontId="22" fillId="22" borderId="0" applyNumberFormat="0" applyBorder="0" applyAlignment="0" applyProtection="0"/>
    <xf numFmtId="175" fontId="22" fillId="24" borderId="0" applyNumberFormat="0" applyBorder="0" applyAlignment="0" applyProtection="0"/>
    <xf numFmtId="175" fontId="23" fillId="13" borderId="0" applyNumberFormat="0" applyBorder="0" applyAlignment="0" applyProtection="0"/>
    <xf numFmtId="175" fontId="23" fillId="14" borderId="0" applyNumberFormat="0" applyBorder="0" applyAlignment="0" applyProtection="0"/>
    <xf numFmtId="175" fontId="22" fillId="14" borderId="0" applyNumberFormat="0" applyBorder="0" applyAlignment="0" applyProtection="0"/>
    <xf numFmtId="175" fontId="22" fillId="25" borderId="0" applyNumberFormat="0" applyBorder="0" applyAlignment="0" applyProtection="0"/>
    <xf numFmtId="175" fontId="23" fillId="26" borderId="0" applyNumberFormat="0" applyBorder="0" applyAlignment="0" applyProtection="0"/>
    <xf numFmtId="175" fontId="23" fillId="18" borderId="0" applyNumberFormat="0" applyBorder="0" applyAlignment="0" applyProtection="0"/>
    <xf numFmtId="175" fontId="22" fillId="27"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43" fontId="51" fillId="0" borderId="0" applyFont="0" applyFill="0" applyBorder="0" applyAlignment="0" applyProtection="0"/>
    <xf numFmtId="43" fontId="16" fillId="0" borderId="0" applyFont="0" applyFill="0" applyBorder="0" applyAlignment="0" applyProtection="0"/>
    <xf numFmtId="44" fontId="51" fillId="0" borderId="0" applyFont="0" applyFill="0" applyBorder="0" applyAlignment="0" applyProtection="0"/>
    <xf numFmtId="44" fontId="16" fillId="0" borderId="0" applyFont="0" applyFill="0" applyBorder="0" applyAlignment="0" applyProtection="0"/>
    <xf numFmtId="44" fontId="52" fillId="0" borderId="0" applyFont="0" applyFill="0" applyBorder="0" applyAlignment="0" applyProtection="0"/>
    <xf numFmtId="44" fontId="16" fillId="0" borderId="0" applyFont="0" applyFill="0" applyBorder="0" applyAlignment="0" applyProtection="0"/>
    <xf numFmtId="44" fontId="52" fillId="0" borderId="0" applyFont="0" applyFill="0" applyBorder="0" applyAlignment="0" applyProtection="0"/>
    <xf numFmtId="175" fontId="27" fillId="29" borderId="0" applyNumberFormat="0" applyBorder="0" applyAlignment="0" applyProtection="0"/>
    <xf numFmtId="175" fontId="27" fillId="30" borderId="0" applyNumberFormat="0" applyBorder="0" applyAlignment="0" applyProtection="0"/>
    <xf numFmtId="175" fontId="27" fillId="31" borderId="0" applyNumberFormat="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0" borderId="0"/>
    <xf numFmtId="175" fontId="18" fillId="0" borderId="0"/>
    <xf numFmtId="175" fontId="16" fillId="26" borderId="7" applyNumberFormat="0" applyFont="0" applyAlignment="0" applyProtection="0"/>
    <xf numFmtId="175" fontId="36" fillId="28" borderId="8" applyNumberFormat="0" applyAlignment="0" applyProtection="0"/>
    <xf numFmtId="9" fontId="51" fillId="0" borderId="0" applyFont="0" applyFill="0" applyBorder="0" applyAlignment="0" applyProtection="0"/>
    <xf numFmtId="9" fontId="16" fillId="0" borderId="0" applyFont="0" applyFill="0" applyBorder="0" applyAlignment="0" applyProtection="0"/>
    <xf numFmtId="4" fontId="37" fillId="33" borderId="9" applyNumberFormat="0" applyProtection="0">
      <alignment vertical="center"/>
    </xf>
    <xf numFmtId="4" fontId="38" fillId="33" borderId="9" applyNumberFormat="0" applyProtection="0">
      <alignment vertical="center"/>
    </xf>
    <xf numFmtId="4" fontId="37" fillId="33" borderId="9" applyNumberFormat="0" applyProtection="0">
      <alignment horizontal="left" vertical="center" indent="1"/>
    </xf>
    <xf numFmtId="175" fontId="37" fillId="33" borderId="9" applyNumberFormat="0" applyProtection="0">
      <alignment horizontal="left" vertical="top" indent="1"/>
    </xf>
    <xf numFmtId="4" fontId="37" fillId="2" borderId="0" applyNumberFormat="0" applyProtection="0">
      <alignment horizontal="left" vertical="center" indent="1"/>
    </xf>
    <xf numFmtId="4" fontId="20" fillId="7" borderId="9" applyNumberFormat="0" applyProtection="0">
      <alignment horizontal="right" vertical="center"/>
    </xf>
    <xf numFmtId="4" fontId="20" fillId="3" borderId="9" applyNumberFormat="0" applyProtection="0">
      <alignment horizontal="right" vertical="center"/>
    </xf>
    <xf numFmtId="4" fontId="20" fillId="34" borderId="9" applyNumberFormat="0" applyProtection="0">
      <alignment horizontal="right" vertical="center"/>
    </xf>
    <xf numFmtId="4" fontId="20" fillId="35" borderId="9" applyNumberFormat="0" applyProtection="0">
      <alignment horizontal="right" vertical="center"/>
    </xf>
    <xf numFmtId="4" fontId="20" fillId="36" borderId="9" applyNumberFormat="0" applyProtection="0">
      <alignment horizontal="right" vertical="center"/>
    </xf>
    <xf numFmtId="4" fontId="20" fillId="37" borderId="9" applyNumberFormat="0" applyProtection="0">
      <alignment horizontal="right" vertical="center"/>
    </xf>
    <xf numFmtId="4" fontId="20" fillId="9" borderId="9" applyNumberFormat="0" applyProtection="0">
      <alignment horizontal="right" vertical="center"/>
    </xf>
    <xf numFmtId="4" fontId="20" fillId="38" borderId="9" applyNumberFormat="0" applyProtection="0">
      <alignment horizontal="right" vertical="center"/>
    </xf>
    <xf numFmtId="4" fontId="20" fillId="39" borderId="9" applyNumberFormat="0" applyProtection="0">
      <alignment horizontal="right" vertical="center"/>
    </xf>
    <xf numFmtId="4" fontId="37" fillId="40" borderId="10" applyNumberFormat="0" applyProtection="0">
      <alignment horizontal="left" vertical="center" indent="1"/>
    </xf>
    <xf numFmtId="4" fontId="20" fillId="41" borderId="0" applyNumberFormat="0" applyProtection="0">
      <alignment horizontal="left" vertical="center" indent="1"/>
    </xf>
    <xf numFmtId="4" fontId="39" fillId="8" borderId="0" applyNumberFormat="0" applyProtection="0">
      <alignment horizontal="left" vertical="center" indent="1"/>
    </xf>
    <xf numFmtId="4" fontId="20" fillId="2" borderId="9" applyNumberFormat="0" applyProtection="0">
      <alignment horizontal="right" vertical="center"/>
    </xf>
    <xf numFmtId="4" fontId="18" fillId="41" borderId="0" applyNumberFormat="0" applyProtection="0">
      <alignment horizontal="left" vertical="center" indent="1"/>
    </xf>
    <xf numFmtId="4" fontId="18" fillId="2" borderId="0" applyNumberFormat="0" applyProtection="0">
      <alignment horizontal="left" vertical="center" indent="1"/>
    </xf>
    <xf numFmtId="175" fontId="16" fillId="8" borderId="9" applyNumberFormat="0" applyProtection="0">
      <alignment horizontal="left" vertical="center" indent="1"/>
    </xf>
    <xf numFmtId="175" fontId="16" fillId="8" borderId="9" applyNumberFormat="0" applyProtection="0">
      <alignment horizontal="left" vertical="top" indent="1"/>
    </xf>
    <xf numFmtId="175" fontId="16" fillId="2" borderId="9" applyNumberFormat="0" applyProtection="0">
      <alignment horizontal="left" vertical="center" indent="1"/>
    </xf>
    <xf numFmtId="175" fontId="16" fillId="2" borderId="9" applyNumberFormat="0" applyProtection="0">
      <alignment horizontal="left" vertical="top" indent="1"/>
    </xf>
    <xf numFmtId="175" fontId="16" fillId="6" borderId="9" applyNumberFormat="0" applyProtection="0">
      <alignment horizontal="left" vertical="center" indent="1"/>
    </xf>
    <xf numFmtId="175" fontId="16" fillId="6" borderId="9" applyNumberFormat="0" applyProtection="0">
      <alignment horizontal="left" vertical="top" indent="1"/>
    </xf>
    <xf numFmtId="175" fontId="16" fillId="41" borderId="9" applyNumberFormat="0" applyProtection="0">
      <alignment horizontal="left" vertical="center" indent="1"/>
    </xf>
    <xf numFmtId="175" fontId="16" fillId="41" borderId="9" applyNumberFormat="0" applyProtection="0">
      <alignment horizontal="left" vertical="top" indent="1"/>
    </xf>
    <xf numFmtId="175" fontId="16" fillId="5" borderId="11" applyNumberFormat="0">
      <protection locked="0"/>
    </xf>
    <xf numFmtId="4" fontId="20" fillId="4" borderId="9" applyNumberFormat="0" applyProtection="0">
      <alignment vertical="center"/>
    </xf>
    <xf numFmtId="4" fontId="40" fillId="4" borderId="9" applyNumberFormat="0" applyProtection="0">
      <alignment vertical="center"/>
    </xf>
    <xf numFmtId="4" fontId="20" fillId="4" borderId="9" applyNumberFormat="0" applyProtection="0">
      <alignment horizontal="left" vertical="center" indent="1"/>
    </xf>
    <xf numFmtId="175" fontId="20" fillId="4" borderId="9" applyNumberFormat="0" applyProtection="0">
      <alignment horizontal="left" vertical="top" indent="1"/>
    </xf>
    <xf numFmtId="4" fontId="20" fillId="41" borderId="9" applyNumberFormat="0" applyProtection="0">
      <alignment horizontal="right" vertical="center"/>
    </xf>
    <xf numFmtId="4" fontId="40" fillId="41" borderId="9" applyNumberFormat="0" applyProtection="0">
      <alignment horizontal="right" vertical="center"/>
    </xf>
    <xf numFmtId="4" fontId="20" fillId="2" borderId="9" applyNumberFormat="0" applyProtection="0">
      <alignment horizontal="left" vertical="center" indent="1"/>
    </xf>
    <xf numFmtId="175" fontId="20" fillId="2" borderId="9" applyNumberFormat="0" applyProtection="0">
      <alignment horizontal="left" vertical="top" indent="1"/>
    </xf>
    <xf numFmtId="4" fontId="41" fillId="42" borderId="0" applyNumberFormat="0" applyProtection="0">
      <alignment horizontal="left" vertical="center" indent="1"/>
    </xf>
    <xf numFmtId="4" fontId="42" fillId="41" borderId="9" applyNumberFormat="0" applyProtection="0">
      <alignment horizontal="right" vertical="center"/>
    </xf>
    <xf numFmtId="175" fontId="43" fillId="0" borderId="0" applyNumberFormat="0" applyFill="0" applyBorder="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44" fontId="16" fillId="0" borderId="0" applyFont="0" applyFill="0" applyBorder="0" applyAlignment="0" applyProtection="0"/>
    <xf numFmtId="4" fontId="18" fillId="7" borderId="9" applyNumberFormat="0" applyProtection="0">
      <alignment horizontal="right" vertical="center"/>
    </xf>
    <xf numFmtId="4" fontId="18" fillId="3" borderId="9" applyNumberFormat="0" applyProtection="0">
      <alignment horizontal="right" vertical="center"/>
    </xf>
    <xf numFmtId="4" fontId="18" fillId="34" borderId="9" applyNumberFormat="0" applyProtection="0">
      <alignment horizontal="right" vertical="center"/>
    </xf>
    <xf numFmtId="4" fontId="18" fillId="35" borderId="9" applyNumberFormat="0" applyProtection="0">
      <alignment horizontal="right" vertical="center"/>
    </xf>
    <xf numFmtId="4" fontId="18" fillId="36" borderId="9" applyNumberFormat="0" applyProtection="0">
      <alignment horizontal="right" vertical="center"/>
    </xf>
    <xf numFmtId="4" fontId="18" fillId="37" borderId="9" applyNumberFormat="0" applyProtection="0">
      <alignment horizontal="right" vertical="center"/>
    </xf>
    <xf numFmtId="4" fontId="18" fillId="9" borderId="9" applyNumberFormat="0" applyProtection="0">
      <alignment horizontal="right" vertical="center"/>
    </xf>
    <xf numFmtId="4" fontId="18" fillId="38" borderId="9" applyNumberFormat="0" applyProtection="0">
      <alignment horizontal="right" vertical="center"/>
    </xf>
    <xf numFmtId="4" fontId="18" fillId="39" borderId="9" applyNumberFormat="0" applyProtection="0">
      <alignment horizontal="right" vertical="center"/>
    </xf>
    <xf numFmtId="4" fontId="18" fillId="41" borderId="0" applyNumberFormat="0" applyProtection="0">
      <alignment horizontal="left" vertical="center" indent="1"/>
    </xf>
    <xf numFmtId="4" fontId="18" fillId="2" borderId="9" applyNumberFormat="0" applyProtection="0">
      <alignment horizontal="right" vertical="center"/>
    </xf>
    <xf numFmtId="4" fontId="18" fillId="4" borderId="9" applyNumberFormat="0" applyProtection="0">
      <alignment vertical="center"/>
    </xf>
    <xf numFmtId="4" fontId="18" fillId="4" borderId="9" applyNumberFormat="0" applyProtection="0">
      <alignment horizontal="left" vertical="center" indent="1"/>
    </xf>
    <xf numFmtId="175" fontId="18" fillId="4" borderId="9" applyNumberFormat="0" applyProtection="0">
      <alignment horizontal="left" vertical="top" indent="1"/>
    </xf>
    <xf numFmtId="4" fontId="18" fillId="41" borderId="9" applyNumberFormat="0" applyProtection="0">
      <alignment horizontal="right" vertical="center"/>
    </xf>
    <xf numFmtId="4" fontId="18" fillId="2" borderId="9" applyNumberFormat="0" applyProtection="0">
      <alignment horizontal="left" vertical="center" indent="1"/>
    </xf>
    <xf numFmtId="175" fontId="18" fillId="2" borderId="9" applyNumberFormat="0" applyProtection="0">
      <alignment horizontal="left" vertical="top" indent="1"/>
    </xf>
    <xf numFmtId="9" fontId="58" fillId="0" borderId="0" applyFont="0" applyFill="0" applyBorder="0" applyAlignment="0" applyProtection="0"/>
    <xf numFmtId="175" fontId="60" fillId="0" borderId="0"/>
    <xf numFmtId="175" fontId="15" fillId="0" borderId="0"/>
    <xf numFmtId="175" fontId="16"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16" fillId="0" borderId="0"/>
    <xf numFmtId="175" fontId="14" fillId="0" borderId="0"/>
    <xf numFmtId="175" fontId="61"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14" fillId="0" borderId="0"/>
    <xf numFmtId="175" fontId="13" fillId="0" borderId="0"/>
    <xf numFmtId="175" fontId="16"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13" fillId="0" borderId="0"/>
    <xf numFmtId="175" fontId="13" fillId="0" borderId="0"/>
    <xf numFmtId="175" fontId="16" fillId="0" borderId="0"/>
    <xf numFmtId="175" fontId="13" fillId="0" borderId="0"/>
    <xf numFmtId="175" fontId="12" fillId="0" borderId="0"/>
    <xf numFmtId="175" fontId="16"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12" fillId="0" borderId="0"/>
    <xf numFmtId="175" fontId="12" fillId="0" borderId="0"/>
    <xf numFmtId="175" fontId="12" fillId="0" borderId="0"/>
    <xf numFmtId="175" fontId="12" fillId="0" borderId="0"/>
    <xf numFmtId="175" fontId="12" fillId="0" borderId="0"/>
    <xf numFmtId="175" fontId="12" fillId="0" borderId="0"/>
    <xf numFmtId="175" fontId="12" fillId="0" borderId="0"/>
    <xf numFmtId="175" fontId="11" fillId="0" borderId="0"/>
    <xf numFmtId="175" fontId="10" fillId="0" borderId="0"/>
    <xf numFmtId="175" fontId="63"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16" fillId="0" borderId="0"/>
    <xf numFmtId="175" fontId="9" fillId="0" borderId="0"/>
    <xf numFmtId="0" fontId="8" fillId="0" borderId="0"/>
    <xf numFmtId="175" fontId="16"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16"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0" fontId="7" fillId="0" borderId="0"/>
    <xf numFmtId="175" fontId="16"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0" fontId="16" fillId="0" borderId="0"/>
    <xf numFmtId="0" fontId="16" fillId="0" borderId="0"/>
    <xf numFmtId="0" fontId="16" fillId="0" borderId="0"/>
    <xf numFmtId="0" fontId="16" fillId="0" borderId="0"/>
    <xf numFmtId="0" fontId="7" fillId="0" borderId="0"/>
    <xf numFmtId="0" fontId="16" fillId="0" borderId="0"/>
    <xf numFmtId="0" fontId="16" fillId="0" borderId="0"/>
    <xf numFmtId="0" fontId="16" fillId="0" borderId="0"/>
    <xf numFmtId="0" fontId="6" fillId="0" borderId="0"/>
    <xf numFmtId="175" fontId="75"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21" fillId="8" borderId="0" applyNumberFormat="0" applyBorder="0" applyAlignment="0" applyProtection="0"/>
    <xf numFmtId="175" fontId="21" fillId="3" borderId="0" applyNumberFormat="0" applyBorder="0" applyAlignment="0" applyProtection="0"/>
    <xf numFmtId="175" fontId="21" fillId="9" borderId="0" applyNumberFormat="0" applyBorder="0" applyAlignment="0" applyProtection="0"/>
    <xf numFmtId="175" fontId="21" fillId="10" borderId="0" applyNumberFormat="0" applyBorder="0" applyAlignment="0" applyProtection="0"/>
    <xf numFmtId="175" fontId="21" fillId="8" borderId="0" applyNumberFormat="0" applyBorder="0" applyAlignment="0" applyProtection="0"/>
    <xf numFmtId="175" fontId="21" fillId="11" borderId="0" applyNumberFormat="0" applyBorder="0" applyAlignment="0" applyProtection="0"/>
    <xf numFmtId="175" fontId="22" fillId="12" borderId="0" applyNumberFormat="0" applyBorder="0" applyAlignment="0" applyProtection="0"/>
    <xf numFmtId="175" fontId="22" fillId="16" borderId="0" applyNumberFormat="0" applyBorder="0" applyAlignment="0" applyProtection="0"/>
    <xf numFmtId="175" fontId="22" fillId="19" borderId="0" applyNumberFormat="0" applyBorder="0" applyAlignment="0" applyProtection="0"/>
    <xf numFmtId="175" fontId="22" fillId="23" borderId="0" applyNumberFormat="0" applyBorder="0" applyAlignment="0" applyProtection="0"/>
    <xf numFmtId="175" fontId="22" fillId="24" borderId="0" applyNumberFormat="0" applyBorder="0" applyAlignment="0" applyProtection="0"/>
    <xf numFmtId="175" fontId="22" fillId="25" borderId="0" applyNumberFormat="0" applyBorder="0" applyAlignment="0" applyProtection="0"/>
    <xf numFmtId="175" fontId="24" fillId="18" borderId="0" applyNumberFormat="0" applyBorder="0" applyAlignment="0" applyProtection="0"/>
    <xf numFmtId="175" fontId="25" fillId="28" borderId="1" applyNumberFormat="0" applyAlignment="0" applyProtection="0"/>
    <xf numFmtId="175" fontId="26" fillId="19" borderId="2" applyNumberFormat="0" applyAlignment="0" applyProtection="0"/>
    <xf numFmtId="43" fontId="16" fillId="0" borderId="0" applyFont="0" applyFill="0" applyBorder="0" applyAlignment="0" applyProtection="0"/>
    <xf numFmtId="175" fontId="28" fillId="0" borderId="0" applyNumberFormat="0" applyFill="0" applyBorder="0" applyAlignment="0" applyProtection="0"/>
    <xf numFmtId="175" fontId="29" fillId="32" borderId="0" applyNumberFormat="0" applyBorder="0" applyAlignment="0" applyProtection="0"/>
    <xf numFmtId="175" fontId="30" fillId="0" borderId="3" applyNumberFormat="0" applyFill="0" applyAlignment="0" applyProtection="0"/>
    <xf numFmtId="175" fontId="31" fillId="0" borderId="4" applyNumberFormat="0" applyFill="0" applyAlignment="0" applyProtection="0"/>
    <xf numFmtId="175" fontId="32" fillId="0" borderId="5" applyNumberFormat="0" applyFill="0" applyAlignment="0" applyProtection="0"/>
    <xf numFmtId="175" fontId="32" fillId="0" borderId="0" applyNumberFormat="0" applyFill="0" applyBorder="0" applyAlignment="0" applyProtection="0"/>
    <xf numFmtId="175" fontId="33" fillId="27" borderId="1" applyNumberFormat="0" applyAlignment="0" applyProtection="0"/>
    <xf numFmtId="175" fontId="34" fillId="0" borderId="6" applyNumberFormat="0" applyFill="0" applyAlignment="0" applyProtection="0"/>
    <xf numFmtId="175" fontId="35" fillId="27" borderId="0" applyNumberFormat="0" applyBorder="0" applyAlignment="0" applyProtection="0"/>
    <xf numFmtId="175" fontId="16" fillId="26" borderId="7" applyNumberFormat="0" applyFont="0" applyAlignment="0" applyProtection="0"/>
    <xf numFmtId="175" fontId="36" fillId="28" borderId="8" applyNumberFormat="0" applyAlignment="0" applyProtection="0"/>
    <xf numFmtId="175" fontId="43" fillId="0" borderId="0" applyNumberFormat="0" applyFill="0" applyBorder="0" applyAlignment="0" applyProtection="0"/>
    <xf numFmtId="175" fontId="27" fillId="0" borderId="12" applyNumberFormat="0" applyFill="0" applyAlignment="0" applyProtection="0"/>
    <xf numFmtId="175" fontId="44" fillId="0" borderId="0" applyNumberFormat="0" applyFill="0" applyBorder="0" applyAlignment="0" applyProtection="0"/>
    <xf numFmtId="9" fontId="16"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6" fillId="0" borderId="0"/>
    <xf numFmtId="0" fontId="7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5" fillId="0" borderId="0"/>
    <xf numFmtId="175" fontId="16"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0" fontId="16" fillId="0" borderId="0"/>
    <xf numFmtId="0" fontId="4" fillId="0" borderId="0"/>
    <xf numFmtId="4" fontId="45" fillId="0" borderId="69" applyNumberFormat="0" applyProtection="0">
      <alignment horizontal="right" vertical="center"/>
    </xf>
    <xf numFmtId="4" fontId="45" fillId="51" borderId="69" applyNumberFormat="0" applyProtection="0">
      <alignment horizontal="left" vertical="center" indent="1"/>
    </xf>
    <xf numFmtId="43" fontId="4" fillId="0" borderId="0" applyFont="0" applyFill="0" applyBorder="0" applyAlignment="0" applyProtection="0"/>
    <xf numFmtId="0" fontId="3" fillId="0" borderId="0"/>
    <xf numFmtId="0" fontId="3" fillId="66" borderId="0" applyNumberFormat="0" applyBorder="0" applyAlignment="0" applyProtection="0"/>
    <xf numFmtId="0" fontId="3" fillId="7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2" fillId="22"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2" fillId="2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2" fillId="14" borderId="0" applyNumberFormat="0" applyBorder="0" applyAlignment="0" applyProtection="0"/>
    <xf numFmtId="0" fontId="23" fillId="26" borderId="0" applyNumberFormat="0" applyBorder="0" applyAlignment="0" applyProtection="0"/>
    <xf numFmtId="0" fontId="23" fillId="18" borderId="0" applyNumberFormat="0" applyBorder="0" applyAlignment="0" applyProtection="0"/>
    <xf numFmtId="0" fontId="22" fillId="27" borderId="0" applyNumberFormat="0" applyBorder="0" applyAlignment="0" applyProtection="0"/>
    <xf numFmtId="0" fontId="105" fillId="76" borderId="0" applyNumberFormat="0" applyBorder="0" applyAlignment="0" applyProtection="0"/>
    <xf numFmtId="0" fontId="3" fillId="74" borderId="0" applyNumberFormat="0" applyBorder="0" applyAlignment="0" applyProtection="0"/>
    <xf numFmtId="0" fontId="3" fillId="73" borderId="0" applyNumberFormat="0" applyBorder="0" applyAlignment="0" applyProtection="0"/>
    <xf numFmtId="0" fontId="105" fillId="72"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3" fillId="65" borderId="0" applyNumberFormat="0" applyBorder="0" applyAlignment="0" applyProtection="0"/>
    <xf numFmtId="0" fontId="104" fillId="0" borderId="82" applyNumberFormat="0" applyFill="0" applyAlignment="0" applyProtection="0"/>
    <xf numFmtId="0" fontId="103" fillId="0" borderId="0" applyNumberFormat="0" applyFill="0" applyBorder="0" applyAlignment="0" applyProtection="0"/>
    <xf numFmtId="0" fontId="99" fillId="57" borderId="77" applyNumberFormat="0" applyAlignment="0" applyProtection="0"/>
    <xf numFmtId="0" fontId="95" fillId="53" borderId="0" applyNumberFormat="0" applyBorder="0" applyAlignment="0" applyProtection="0"/>
    <xf numFmtId="0" fontId="37" fillId="33" borderId="9" applyNumberFormat="0" applyProtection="0">
      <alignment horizontal="left" vertical="top" indent="1"/>
    </xf>
    <xf numFmtId="0" fontId="94" fillId="0" borderId="0" applyNumberFormat="0" applyFill="0" applyBorder="0" applyAlignment="0" applyProtection="0"/>
    <xf numFmtId="0" fontId="94" fillId="0" borderId="76" applyNumberFormat="0" applyFill="0" applyAlignment="0" applyProtection="0"/>
    <xf numFmtId="0" fontId="93" fillId="0" borderId="75" applyNumberFormat="0" applyFill="0" applyAlignment="0" applyProtection="0"/>
    <xf numFmtId="0" fontId="92" fillId="0" borderId="74" applyNumberFormat="0" applyFill="0" applyAlignment="0" applyProtection="0"/>
    <xf numFmtId="43" fontId="16" fillId="0" borderId="0" applyFont="0" applyFill="0" applyBorder="0" applyAlignment="0" applyProtection="0"/>
    <xf numFmtId="0" fontId="105" fillId="64" borderId="0" applyNumberFormat="0" applyBorder="0" applyAlignment="0" applyProtection="0"/>
    <xf numFmtId="0" fontId="3" fillId="61" borderId="0" applyNumberFormat="0" applyBorder="0" applyAlignment="0" applyProtection="0"/>
    <xf numFmtId="0" fontId="16" fillId="8" borderId="9" applyNumberFormat="0" applyProtection="0">
      <alignment horizontal="left" vertical="center" indent="1"/>
    </xf>
    <xf numFmtId="0" fontId="16" fillId="8" borderId="9" applyNumberFormat="0" applyProtection="0">
      <alignment horizontal="left" vertical="top" indent="1"/>
    </xf>
    <xf numFmtId="0" fontId="16" fillId="2" borderId="9" applyNumberFormat="0" applyProtection="0">
      <alignment horizontal="left" vertical="center" indent="1"/>
    </xf>
    <xf numFmtId="0" fontId="16" fillId="2" borderId="9" applyNumberFormat="0" applyProtection="0">
      <alignment horizontal="left" vertical="top" indent="1"/>
    </xf>
    <xf numFmtId="0" fontId="16" fillId="6" borderId="9" applyNumberFormat="0" applyProtection="0">
      <alignment horizontal="left" vertical="center" indent="1"/>
    </xf>
    <xf numFmtId="0" fontId="16" fillId="6" borderId="9" applyNumberFormat="0" applyProtection="0">
      <alignment horizontal="left" vertical="top" indent="1"/>
    </xf>
    <xf numFmtId="0" fontId="16" fillId="41" borderId="9" applyNumberFormat="0" applyProtection="0">
      <alignment horizontal="left" vertical="center" indent="1"/>
    </xf>
    <xf numFmtId="0" fontId="16" fillId="41" borderId="9" applyNumberFormat="0" applyProtection="0">
      <alignment horizontal="left" vertical="top" indent="1"/>
    </xf>
    <xf numFmtId="0" fontId="16" fillId="5" borderId="11" applyNumberFormat="0">
      <protection locked="0"/>
    </xf>
    <xf numFmtId="0" fontId="3" fillId="61" borderId="0" applyNumberFormat="0" applyBorder="0" applyAlignment="0" applyProtection="0"/>
    <xf numFmtId="0" fontId="100" fillId="0" borderId="79" applyNumberFormat="0" applyFill="0" applyAlignment="0" applyProtection="0"/>
    <xf numFmtId="0" fontId="3" fillId="62" borderId="0" applyNumberFormat="0" applyBorder="0" applyAlignment="0" applyProtection="0"/>
    <xf numFmtId="0" fontId="18" fillId="4" borderId="9" applyNumberFormat="0" applyProtection="0">
      <alignment horizontal="left" vertical="top" indent="1"/>
    </xf>
    <xf numFmtId="0" fontId="3" fillId="61" borderId="0" applyNumberFormat="0" applyBorder="0" applyAlignment="0" applyProtection="0"/>
    <xf numFmtId="0" fontId="3" fillId="61" borderId="0" applyNumberFormat="0" applyBorder="0" applyAlignment="0" applyProtection="0"/>
    <xf numFmtId="0" fontId="96" fillId="54" borderId="0" applyNumberFormat="0" applyBorder="0" applyAlignment="0" applyProtection="0"/>
    <xf numFmtId="0" fontId="18" fillId="2" borderId="9" applyNumberFormat="0" applyProtection="0">
      <alignment horizontal="left" vertical="top" indent="1"/>
    </xf>
    <xf numFmtId="0" fontId="105" fillId="64" borderId="0" applyNumberFormat="0" applyBorder="0" applyAlignment="0" applyProtection="0"/>
    <xf numFmtId="0" fontId="105" fillId="60" borderId="0" applyNumberFormat="0" applyBorder="0" applyAlignment="0" applyProtection="0"/>
    <xf numFmtId="0" fontId="43" fillId="0" borderId="0" applyNumberFormat="0" applyFill="0" applyBorder="0" applyAlignment="0" applyProtection="0"/>
    <xf numFmtId="0" fontId="105" fillId="68" borderId="0" applyNumberFormat="0" applyBorder="0" applyAlignment="0" applyProtection="0"/>
    <xf numFmtId="0" fontId="3" fillId="69"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105" fillId="80" borderId="0" applyNumberFormat="0" applyBorder="0" applyAlignment="0" applyProtection="0"/>
    <xf numFmtId="0" fontId="3" fillId="8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23" fillId="86" borderId="0" applyNumberFormat="0" applyBorder="0" applyAlignment="0" applyProtection="0"/>
    <xf numFmtId="0" fontId="3" fillId="61" borderId="0" applyNumberFormat="0" applyBorder="0" applyAlignment="0" applyProtection="0"/>
    <xf numFmtId="0" fontId="3" fillId="82" borderId="0" applyNumberFormat="0" applyBorder="0" applyAlignment="0" applyProtection="0"/>
    <xf numFmtId="0" fontId="3" fillId="0" borderId="0"/>
    <xf numFmtId="0" fontId="102" fillId="0" borderId="0" applyNumberFormat="0" applyFill="0" applyBorder="0" applyAlignment="0" applyProtection="0"/>
    <xf numFmtId="0" fontId="101" fillId="58" borderId="80" applyNumberFormat="0" applyAlignment="0" applyProtection="0"/>
    <xf numFmtId="0" fontId="23" fillId="7" borderId="0" applyNumberFormat="0" applyBorder="0" applyAlignment="0" applyProtection="0"/>
    <xf numFmtId="0" fontId="23" fillId="84" borderId="0" applyNumberFormat="0" applyBorder="0" applyAlignment="0" applyProtection="0"/>
    <xf numFmtId="0" fontId="23" fillId="84" borderId="0" applyNumberFormat="0" applyBorder="0" applyAlignment="0" applyProtection="0"/>
    <xf numFmtId="0" fontId="98" fillId="57" borderId="78" applyNumberFormat="0" applyAlignment="0" applyProtection="0"/>
    <xf numFmtId="0" fontId="97" fillId="56" borderId="77" applyNumberFormat="0" applyAlignment="0" applyProtection="0"/>
    <xf numFmtId="0" fontId="23" fillId="7" borderId="0" applyNumberFormat="0" applyBorder="0" applyAlignment="0" applyProtection="0"/>
    <xf numFmtId="0" fontId="23" fillId="86"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23" fillId="87" borderId="0" applyNumberFormat="0" applyBorder="0" applyAlignment="0" applyProtection="0"/>
    <xf numFmtId="0" fontId="23" fillId="8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23" fillId="86" borderId="0" applyNumberFormat="0" applyBorder="0" applyAlignment="0" applyProtection="0"/>
    <xf numFmtId="0" fontId="23" fillId="86"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22" fillId="88" borderId="0" applyNumberFormat="0" applyBorder="0" applyAlignment="0" applyProtection="0"/>
    <xf numFmtId="0" fontId="22" fillId="3" borderId="0" applyNumberFormat="0" applyBorder="0" applyAlignment="0" applyProtection="0"/>
    <xf numFmtId="0" fontId="22" fillId="39" borderId="0" applyNumberFormat="0" applyBorder="0" applyAlignment="0" applyProtection="0"/>
    <xf numFmtId="0" fontId="22" fillId="89" borderId="0" applyNumberFormat="0" applyBorder="0" applyAlignment="0" applyProtection="0"/>
    <xf numFmtId="0" fontId="22" fillId="51" borderId="0" applyNumberFormat="0" applyBorder="0" applyAlignment="0" applyProtection="0"/>
    <xf numFmtId="0" fontId="22" fillId="36" borderId="0" applyNumberFormat="0" applyBorder="0" applyAlignment="0" applyProtection="0"/>
    <xf numFmtId="0" fontId="23" fillId="90" borderId="0" applyNumberFormat="0" applyBorder="0" applyAlignment="0" applyProtection="0"/>
    <xf numFmtId="0" fontId="23" fillId="90"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2" fillId="91" borderId="0" applyNumberFormat="0" applyBorder="0" applyAlignment="0" applyProtection="0"/>
    <xf numFmtId="0" fontId="22" fillId="12" borderId="0" applyNumberFormat="0" applyBorder="0" applyAlignment="0" applyProtection="0"/>
    <xf numFmtId="0" fontId="22" fillId="92" borderId="0" applyNumberFormat="0" applyBorder="0" applyAlignment="0" applyProtection="0"/>
    <xf numFmtId="0" fontId="22" fillId="92" borderId="0" applyNumberFormat="0" applyBorder="0" applyAlignment="0" applyProtection="0"/>
    <xf numFmtId="0" fontId="22" fillId="92" borderId="0" applyNumberFormat="0" applyBorder="0" applyAlignment="0" applyProtection="0"/>
    <xf numFmtId="0" fontId="22" fillId="92" borderId="0" applyNumberFormat="0" applyBorder="0" applyAlignment="0" applyProtection="0"/>
    <xf numFmtId="0" fontId="22" fillId="92" borderId="0" applyNumberFormat="0" applyBorder="0" applyAlignment="0" applyProtection="0"/>
    <xf numFmtId="0" fontId="23" fillId="93" borderId="0" applyNumberFormat="0" applyBorder="0" applyAlignment="0" applyProtection="0"/>
    <xf numFmtId="0" fontId="23" fillId="93"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2" fillId="18" borderId="0" applyNumberFormat="0" applyBorder="0" applyAlignment="0" applyProtection="0"/>
    <xf numFmtId="0" fontId="22" fillId="16"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3" fillId="94" borderId="0" applyNumberFormat="0" applyBorder="0" applyAlignment="0" applyProtection="0"/>
    <xf numFmtId="0" fontId="23" fillId="94" borderId="0" applyNumberFormat="0" applyBorder="0" applyAlignment="0" applyProtection="0"/>
    <xf numFmtId="0" fontId="23" fillId="95" borderId="0" applyNumberFormat="0" applyBorder="0" applyAlignment="0" applyProtection="0"/>
    <xf numFmtId="0" fontId="23" fillId="95" borderId="0" applyNumberFormat="0" applyBorder="0" applyAlignment="0" applyProtection="0"/>
    <xf numFmtId="0" fontId="22" fillId="96" borderId="0" applyNumberFormat="0" applyBorder="0" applyAlignment="0" applyProtection="0"/>
    <xf numFmtId="0" fontId="22" fillId="9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3" fillId="93" borderId="0" applyNumberFormat="0" applyBorder="0" applyAlignment="0" applyProtection="0"/>
    <xf numFmtId="0" fontId="23" fillId="9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2" fillId="21" borderId="0" applyNumberFormat="0" applyBorder="0" applyAlignment="0" applyProtection="0"/>
    <xf numFmtId="0" fontId="22" fillId="98" borderId="0" applyNumberFormat="0" applyBorder="0" applyAlignment="0" applyProtection="0"/>
    <xf numFmtId="0" fontId="22" fillId="89" borderId="0" applyNumberFormat="0" applyBorder="0" applyAlignment="0" applyProtection="0"/>
    <xf numFmtId="0" fontId="22" fillId="89" borderId="0" applyNumberFormat="0" applyBorder="0" applyAlignment="0" applyProtection="0"/>
    <xf numFmtId="0" fontId="22" fillId="89" borderId="0" applyNumberFormat="0" applyBorder="0" applyAlignment="0" applyProtection="0"/>
    <xf numFmtId="0" fontId="22" fillId="89" borderId="0" applyNumberFormat="0" applyBorder="0" applyAlignment="0" applyProtection="0"/>
    <xf numFmtId="0" fontId="22" fillId="8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105" fillId="68" borderId="0" applyNumberFormat="0" applyBorder="0" applyAlignment="0" applyProtection="0"/>
    <xf numFmtId="0" fontId="22" fillId="91" borderId="0" applyNumberFormat="0" applyBorder="0" applyAlignment="0" applyProtection="0"/>
    <xf numFmtId="0" fontId="22" fillId="9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2" fillId="99" borderId="0" applyNumberFormat="0" applyBorder="0" applyAlignment="0" applyProtection="0"/>
    <xf numFmtId="0" fontId="22" fillId="100"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07" fillId="26" borderId="0" applyNumberFormat="0" applyBorder="0" applyAlignment="0" applyProtection="0"/>
    <xf numFmtId="0" fontId="96" fillId="54" borderId="0" applyNumberFormat="0" applyBorder="0" applyAlignment="0" applyProtection="0"/>
    <xf numFmtId="0" fontId="108" fillId="7" borderId="0" applyNumberFormat="0" applyBorder="0" applyAlignment="0" applyProtection="0"/>
    <xf numFmtId="0" fontId="109" fillId="101" borderId="69" applyNumberFormat="0" applyAlignment="0" applyProtection="0"/>
    <xf numFmtId="0" fontId="110" fillId="10" borderId="1" applyNumberFormat="0" applyAlignment="0" applyProtection="0"/>
    <xf numFmtId="0" fontId="26" fillId="98" borderId="2" applyNumberFormat="0" applyAlignment="0" applyProtection="0"/>
    <xf numFmtId="0" fontId="26" fillId="102" borderId="2" applyNumberFormat="0" applyAlignment="0" applyProtection="0"/>
    <xf numFmtId="41" fontId="11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23" fillId="0" borderId="0" applyFont="0" applyFill="0" applyBorder="0" applyAlignment="0" applyProtection="0"/>
    <xf numFmtId="43" fontId="1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6" fillId="0" borderId="0" applyFont="0" applyFill="0" applyBorder="0" applyAlignment="0" applyProtection="0"/>
    <xf numFmtId="43" fontId="111" fillId="0" borderId="0" applyFont="0" applyFill="0" applyBorder="0" applyAlignment="0" applyProtection="0"/>
    <xf numFmtId="43" fontId="1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0" fontId="105" fillId="60"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23" fillId="0" borderId="0" applyFont="0" applyFill="0" applyBorder="0" applyAlignment="0" applyProtection="0"/>
    <xf numFmtId="44" fontId="16"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7" fillId="103" borderId="0" applyNumberFormat="0" applyBorder="0" applyAlignment="0" applyProtection="0"/>
    <xf numFmtId="0" fontId="27" fillId="104" borderId="0" applyNumberFormat="0" applyBorder="0" applyAlignment="0" applyProtection="0"/>
    <xf numFmtId="0" fontId="112" fillId="0" borderId="0" applyNumberFormat="0" applyFill="0" applyBorder="0" applyAlignment="0" applyProtection="0"/>
    <xf numFmtId="0" fontId="23" fillId="95" borderId="0" applyNumberFormat="0" applyBorder="0" applyAlignment="0" applyProtection="0"/>
    <xf numFmtId="0" fontId="29" fillId="85" borderId="0" applyNumberFormat="0" applyBorder="0" applyAlignment="0" applyProtection="0"/>
    <xf numFmtId="0" fontId="23" fillId="95" borderId="0" applyNumberFormat="0" applyBorder="0" applyAlignment="0" applyProtection="0"/>
    <xf numFmtId="0" fontId="30" fillId="0" borderId="3" applyNumberFormat="0" applyFill="0" applyAlignment="0" applyProtection="0"/>
    <xf numFmtId="0" fontId="113" fillId="0" borderId="84" applyNumberFormat="0" applyFill="0" applyAlignment="0" applyProtection="0"/>
    <xf numFmtId="0" fontId="31" fillId="0" borderId="85" applyNumberFormat="0" applyFill="0" applyAlignment="0" applyProtection="0"/>
    <xf numFmtId="0" fontId="114" fillId="0" borderId="4" applyNumberFormat="0" applyFill="0" applyAlignment="0" applyProtection="0"/>
    <xf numFmtId="0" fontId="32" fillId="0" borderId="86" applyNumberFormat="0" applyFill="0" applyAlignment="0" applyProtection="0"/>
    <xf numFmtId="0" fontId="115" fillId="0" borderId="87" applyNumberFormat="0" applyFill="0" applyAlignment="0" applyProtection="0"/>
    <xf numFmtId="0" fontId="32" fillId="0" borderId="0" applyNumberFormat="0" applyFill="0" applyBorder="0" applyAlignment="0" applyProtection="0"/>
    <xf numFmtId="0" fontId="115" fillId="0" borderId="0" applyNumberFormat="0" applyFill="0" applyBorder="0" applyAlignment="0" applyProtection="0"/>
    <xf numFmtId="0" fontId="33" fillId="27" borderId="69" applyNumberFormat="0" applyAlignment="0" applyProtection="0"/>
    <xf numFmtId="0" fontId="116" fillId="11" borderId="1" applyNumberFormat="0" applyAlignment="0" applyProtection="0"/>
    <xf numFmtId="0" fontId="29" fillId="0" borderId="88" applyNumberFormat="0" applyFill="0" applyAlignment="0" applyProtection="0"/>
    <xf numFmtId="0" fontId="117" fillId="0" borderId="89" applyNumberFormat="0" applyFill="0" applyAlignment="0" applyProtection="0"/>
    <xf numFmtId="0" fontId="29" fillId="27" borderId="0" applyNumberFormat="0" applyBorder="0" applyAlignment="0" applyProtection="0"/>
    <xf numFmtId="0" fontId="106" fillId="55" borderId="0" applyNumberFormat="0" applyBorder="0" applyAlignment="0" applyProtection="0"/>
    <xf numFmtId="0" fontId="35" fillId="33" borderId="0" applyNumberFormat="0" applyBorder="0" applyAlignment="0" applyProtection="0"/>
    <xf numFmtId="0" fontId="3" fillId="0" borderId="0"/>
    <xf numFmtId="0" fontId="3" fillId="0" borderId="0"/>
    <xf numFmtId="0" fontId="111" fillId="0" borderId="0"/>
    <xf numFmtId="0" fontId="111" fillId="0" borderId="0"/>
    <xf numFmtId="0" fontId="16" fillId="0" borderId="0"/>
    <xf numFmtId="0" fontId="111" fillId="0" borderId="0"/>
    <xf numFmtId="0" fontId="111" fillId="0" borderId="0"/>
    <xf numFmtId="0" fontId="111" fillId="0" borderId="0"/>
    <xf numFmtId="0" fontId="1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3" fillId="0" borderId="0"/>
    <xf numFmtId="0" fontId="3" fillId="0" borderId="0"/>
    <xf numFmtId="0" fontId="23" fillId="0" borderId="0"/>
    <xf numFmtId="0" fontId="23" fillId="0"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45" fillId="105" borderId="0"/>
    <xf numFmtId="0" fontId="23" fillId="0" borderId="0"/>
    <xf numFmtId="0" fontId="16" fillId="0" borderId="0"/>
    <xf numFmtId="0" fontId="16" fillId="0" borderId="0"/>
    <xf numFmtId="0" fontId="23" fillId="0" borderId="0"/>
    <xf numFmtId="0" fontId="23" fillId="0" borderId="0"/>
    <xf numFmtId="0" fontId="45" fillId="105" borderId="0"/>
    <xf numFmtId="0" fontId="23" fillId="0" borderId="0"/>
    <xf numFmtId="0" fontId="23"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1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81" applyNumberFormat="0" applyFont="0" applyAlignment="0" applyProtection="0"/>
    <xf numFmtId="0" fontId="18" fillId="4" borderId="7" applyNumberFormat="0" applyFont="0" applyAlignment="0" applyProtection="0"/>
    <xf numFmtId="0" fontId="23" fillId="59" borderId="81" applyNumberFormat="0" applyFont="0" applyAlignment="0" applyProtection="0"/>
    <xf numFmtId="0" fontId="45" fillId="26" borderId="69" applyNumberFormat="0" applyFont="0" applyAlignment="0" applyProtection="0"/>
    <xf numFmtId="0" fontId="23" fillId="59" borderId="81" applyNumberFormat="0" applyFont="0" applyAlignment="0" applyProtection="0"/>
    <xf numFmtId="0" fontId="23" fillId="59" borderId="81" applyNumberFormat="0" applyFont="0" applyAlignment="0" applyProtection="0"/>
    <xf numFmtId="0" fontId="3" fillId="59" borderId="81" applyNumberFormat="0" applyFont="0" applyAlignment="0" applyProtection="0"/>
    <xf numFmtId="0" fontId="36" fillId="101" borderId="8" applyNumberFormat="0" applyAlignment="0" applyProtection="0"/>
    <xf numFmtId="0" fontId="36" fillId="10" borderId="8"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6"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111" fillId="0" borderId="0" applyFont="0" applyFill="0" applyBorder="0" applyAlignment="0" applyProtection="0"/>
    <xf numFmtId="9" fontId="16"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1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 fontId="18" fillId="106" borderId="8" applyNumberFormat="0" applyProtection="0">
      <alignment vertical="center"/>
    </xf>
    <xf numFmtId="4" fontId="18" fillId="106" borderId="8" applyNumberFormat="0" applyProtection="0">
      <alignment vertical="center"/>
    </xf>
    <xf numFmtId="4" fontId="45" fillId="33" borderId="69" applyNumberFormat="0" applyProtection="0">
      <alignment vertical="center"/>
    </xf>
    <xf numFmtId="4" fontId="45" fillId="33" borderId="69" applyNumberFormat="0" applyProtection="0">
      <alignment vertical="center"/>
    </xf>
    <xf numFmtId="4" fontId="45" fillId="33" borderId="69" applyNumberFormat="0" applyProtection="0">
      <alignment vertical="center"/>
    </xf>
    <xf numFmtId="4" fontId="40" fillId="106" borderId="8" applyNumberFormat="0" applyProtection="0">
      <alignment vertical="center"/>
    </xf>
    <xf numFmtId="4" fontId="118" fillId="106" borderId="69" applyNumberFormat="0" applyProtection="0">
      <alignment vertical="center"/>
    </xf>
    <xf numFmtId="4" fontId="18" fillId="106" borderId="8" applyNumberFormat="0" applyProtection="0">
      <alignment horizontal="left" vertical="center" indent="1"/>
    </xf>
    <xf numFmtId="4" fontId="45" fillId="106" borderId="69" applyNumberFormat="0" applyProtection="0">
      <alignment horizontal="left" vertical="center" indent="1"/>
    </xf>
    <xf numFmtId="4" fontId="45" fillId="106" borderId="69" applyNumberFormat="0" applyProtection="0">
      <alignment horizontal="left" vertical="center" indent="1"/>
    </xf>
    <xf numFmtId="4" fontId="45" fillId="106" borderId="69" applyNumberFormat="0" applyProtection="0">
      <alignment horizontal="left" vertical="center" indent="1"/>
    </xf>
    <xf numFmtId="4" fontId="18" fillId="106" borderId="8" applyNumberFormat="0" applyProtection="0">
      <alignment horizontal="left" vertical="center" indent="1"/>
    </xf>
    <xf numFmtId="0" fontId="119" fillId="33" borderId="9" applyNumberFormat="0" applyProtection="0">
      <alignment horizontal="left" vertical="top" indent="1"/>
    </xf>
    <xf numFmtId="0" fontId="16" fillId="107" borderId="8"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4" fontId="18" fillId="108" borderId="8" applyNumberFormat="0" applyProtection="0">
      <alignment horizontal="right" vertical="center"/>
    </xf>
    <xf numFmtId="4" fontId="45" fillId="7" borderId="69" applyNumberFormat="0" applyProtection="0">
      <alignment horizontal="right" vertical="center"/>
    </xf>
    <xf numFmtId="4" fontId="45" fillId="7" borderId="69" applyNumberFormat="0" applyProtection="0">
      <alignment horizontal="right" vertical="center"/>
    </xf>
    <xf numFmtId="4" fontId="45" fillId="7" borderId="69" applyNumberFormat="0" applyProtection="0">
      <alignment horizontal="right" vertical="center"/>
    </xf>
    <xf numFmtId="4" fontId="18" fillId="109" borderId="8" applyNumberFormat="0" applyProtection="0">
      <alignment horizontal="right" vertical="center"/>
    </xf>
    <xf numFmtId="4" fontId="45" fillId="110" borderId="69" applyNumberFormat="0" applyProtection="0">
      <alignment horizontal="right" vertical="center"/>
    </xf>
    <xf numFmtId="4" fontId="45" fillId="110" borderId="69" applyNumberFormat="0" applyProtection="0">
      <alignment horizontal="right" vertical="center"/>
    </xf>
    <xf numFmtId="4" fontId="45" fillId="110" borderId="69" applyNumberFormat="0" applyProtection="0">
      <alignment horizontal="right" vertical="center"/>
    </xf>
    <xf numFmtId="4" fontId="18" fillId="111" borderId="8" applyNumberFormat="0" applyProtection="0">
      <alignment horizontal="right" vertical="center"/>
    </xf>
    <xf numFmtId="4" fontId="45" fillId="34" borderId="83" applyNumberFormat="0" applyProtection="0">
      <alignment horizontal="right" vertical="center"/>
    </xf>
    <xf numFmtId="4" fontId="45" fillId="34" borderId="83" applyNumberFormat="0" applyProtection="0">
      <alignment horizontal="right" vertical="center"/>
    </xf>
    <xf numFmtId="4" fontId="45" fillId="34" borderId="83" applyNumberFormat="0" applyProtection="0">
      <alignment horizontal="right" vertical="center"/>
    </xf>
    <xf numFmtId="4" fontId="18" fillId="112" borderId="8" applyNumberFormat="0" applyProtection="0">
      <alignment horizontal="right" vertical="center"/>
    </xf>
    <xf numFmtId="4" fontId="45" fillId="35" borderId="69" applyNumberFormat="0" applyProtection="0">
      <alignment horizontal="right" vertical="center"/>
    </xf>
    <xf numFmtId="4" fontId="45" fillId="35" borderId="69" applyNumberFormat="0" applyProtection="0">
      <alignment horizontal="right" vertical="center"/>
    </xf>
    <xf numFmtId="4" fontId="45" fillId="35" borderId="69" applyNumberFormat="0" applyProtection="0">
      <alignment horizontal="right" vertical="center"/>
    </xf>
    <xf numFmtId="4" fontId="18" fillId="113" borderId="8" applyNumberFormat="0" applyProtection="0">
      <alignment horizontal="right" vertical="center"/>
    </xf>
    <xf numFmtId="4" fontId="45" fillId="36" borderId="69" applyNumberFormat="0" applyProtection="0">
      <alignment horizontal="right" vertical="center"/>
    </xf>
    <xf numFmtId="4" fontId="45" fillId="36" borderId="69" applyNumberFormat="0" applyProtection="0">
      <alignment horizontal="right" vertical="center"/>
    </xf>
    <xf numFmtId="4" fontId="45" fillId="36" borderId="69" applyNumberFormat="0" applyProtection="0">
      <alignment horizontal="right" vertical="center"/>
    </xf>
    <xf numFmtId="4" fontId="18" fillId="114" borderId="8" applyNumberFormat="0" applyProtection="0">
      <alignment horizontal="right" vertical="center"/>
    </xf>
    <xf numFmtId="4" fontId="45" fillId="37" borderId="69" applyNumberFormat="0" applyProtection="0">
      <alignment horizontal="right" vertical="center"/>
    </xf>
    <xf numFmtId="4" fontId="45" fillId="37" borderId="69" applyNumberFormat="0" applyProtection="0">
      <alignment horizontal="right" vertical="center"/>
    </xf>
    <xf numFmtId="4" fontId="45" fillId="37" borderId="69" applyNumberFormat="0" applyProtection="0">
      <alignment horizontal="right" vertical="center"/>
    </xf>
    <xf numFmtId="4" fontId="18" fillId="115" borderId="8" applyNumberFormat="0" applyProtection="0">
      <alignment horizontal="right" vertical="center"/>
    </xf>
    <xf numFmtId="4" fontId="45" fillId="9" borderId="69" applyNumberFormat="0" applyProtection="0">
      <alignment horizontal="right" vertical="center"/>
    </xf>
    <xf numFmtId="4" fontId="45" fillId="9" borderId="69" applyNumberFormat="0" applyProtection="0">
      <alignment horizontal="right" vertical="center"/>
    </xf>
    <xf numFmtId="4" fontId="45" fillId="9" borderId="69" applyNumberFormat="0" applyProtection="0">
      <alignment horizontal="right" vertical="center"/>
    </xf>
    <xf numFmtId="4" fontId="18" fillId="116" borderId="8" applyNumberFormat="0" applyProtection="0">
      <alignment horizontal="right" vertical="center"/>
    </xf>
    <xf numFmtId="4" fontId="45" fillId="38" borderId="69" applyNumberFormat="0" applyProtection="0">
      <alignment horizontal="right" vertical="center"/>
    </xf>
    <xf numFmtId="4" fontId="45" fillId="38" borderId="69" applyNumberFormat="0" applyProtection="0">
      <alignment horizontal="right" vertical="center"/>
    </xf>
    <xf numFmtId="4" fontId="45" fillId="38" borderId="69" applyNumberFormat="0" applyProtection="0">
      <alignment horizontal="right" vertical="center"/>
    </xf>
    <xf numFmtId="4" fontId="18" fillId="117" borderId="8" applyNumberFormat="0" applyProtection="0">
      <alignment horizontal="right" vertical="center"/>
    </xf>
    <xf numFmtId="4" fontId="45" fillId="39" borderId="69" applyNumberFormat="0" applyProtection="0">
      <alignment horizontal="right" vertical="center"/>
    </xf>
    <xf numFmtId="4" fontId="45" fillId="39" borderId="69" applyNumberFormat="0" applyProtection="0">
      <alignment horizontal="right" vertical="center"/>
    </xf>
    <xf numFmtId="4" fontId="45" fillId="39" borderId="69" applyNumberFormat="0" applyProtection="0">
      <alignment horizontal="right" vertical="center"/>
    </xf>
    <xf numFmtId="4" fontId="37" fillId="118" borderId="8" applyNumberFormat="0" applyProtection="0">
      <alignment horizontal="left" vertical="center" indent="1"/>
    </xf>
    <xf numFmtId="4" fontId="45" fillId="40" borderId="83" applyNumberFormat="0" applyProtection="0">
      <alignment horizontal="left" vertical="center" indent="1"/>
    </xf>
    <xf numFmtId="4" fontId="45" fillId="40" borderId="83" applyNumberFormat="0" applyProtection="0">
      <alignment horizontal="left" vertical="center" indent="1"/>
    </xf>
    <xf numFmtId="4" fontId="45" fillId="40" borderId="83" applyNumberFormat="0" applyProtection="0">
      <alignment horizontal="left" vertical="center" indent="1"/>
    </xf>
    <xf numFmtId="4" fontId="18" fillId="119" borderId="90" applyNumberFormat="0" applyProtection="0">
      <alignment horizontal="left" vertical="center" indent="1"/>
    </xf>
    <xf numFmtId="4" fontId="16" fillId="8" borderId="83" applyNumberFormat="0" applyProtection="0">
      <alignment horizontal="left" vertical="center" indent="1"/>
    </xf>
    <xf numFmtId="4" fontId="39" fillId="120" borderId="0" applyNumberFormat="0" applyProtection="0">
      <alignment horizontal="left" vertical="center" indent="1"/>
    </xf>
    <xf numFmtId="4" fontId="16" fillId="8" borderId="83" applyNumberFormat="0" applyProtection="0">
      <alignment horizontal="left" vertical="center" indent="1"/>
    </xf>
    <xf numFmtId="0" fontId="16" fillId="107" borderId="8" applyNumberFormat="0" applyProtection="0">
      <alignment horizontal="left" vertical="center" indent="1"/>
    </xf>
    <xf numFmtId="4" fontId="45" fillId="2" borderId="69" applyNumberFormat="0" applyProtection="0">
      <alignment horizontal="right" vertical="center"/>
    </xf>
    <xf numFmtId="4" fontId="45" fillId="2" borderId="69" applyNumberFormat="0" applyProtection="0">
      <alignment horizontal="right" vertical="center"/>
    </xf>
    <xf numFmtId="4" fontId="45" fillId="2" borderId="69" applyNumberFormat="0" applyProtection="0">
      <alignment horizontal="right" vertical="center"/>
    </xf>
    <xf numFmtId="4" fontId="18" fillId="119" borderId="8" applyNumberFormat="0" applyProtection="0">
      <alignment horizontal="left" vertical="center" indent="1"/>
    </xf>
    <xf numFmtId="4" fontId="45" fillId="41" borderId="83" applyNumberFormat="0" applyProtection="0">
      <alignment horizontal="left" vertical="center" indent="1"/>
    </xf>
    <xf numFmtId="4" fontId="45" fillId="41" borderId="83" applyNumberFormat="0" applyProtection="0">
      <alignment horizontal="left" vertical="center" indent="1"/>
    </xf>
    <xf numFmtId="4" fontId="45" fillId="41" borderId="83" applyNumberFormat="0" applyProtection="0">
      <alignment horizontal="left" vertical="center" indent="1"/>
    </xf>
    <xf numFmtId="4" fontId="18" fillId="46" borderId="8" applyNumberFormat="0" applyProtection="0">
      <alignment horizontal="left" vertical="center" indent="1"/>
    </xf>
    <xf numFmtId="4" fontId="45" fillId="2" borderId="83" applyNumberFormat="0" applyProtection="0">
      <alignment horizontal="left" vertical="center" indent="1"/>
    </xf>
    <xf numFmtId="4" fontId="45" fillId="2" borderId="83" applyNumberFormat="0" applyProtection="0">
      <alignment horizontal="left" vertical="center" indent="1"/>
    </xf>
    <xf numFmtId="4" fontId="45" fillId="2" borderId="83" applyNumberFormat="0" applyProtection="0">
      <alignment horizontal="left" vertical="center" indent="1"/>
    </xf>
    <xf numFmtId="0" fontId="16" fillId="46" borderId="8" applyNumberFormat="0" applyProtection="0">
      <alignment horizontal="left" vertical="center" indent="1"/>
    </xf>
    <xf numFmtId="0" fontId="45" fillId="10" borderId="69" applyNumberFormat="0" applyProtection="0">
      <alignment horizontal="left" vertical="center" indent="1"/>
    </xf>
    <xf numFmtId="0" fontId="45" fillId="10" borderId="69" applyNumberFormat="0" applyProtection="0">
      <alignment horizontal="left" vertical="center" indent="1"/>
    </xf>
    <xf numFmtId="0" fontId="45" fillId="10" borderId="69" applyNumberFormat="0" applyProtection="0">
      <alignment horizontal="left" vertical="center" indent="1"/>
    </xf>
    <xf numFmtId="0" fontId="16" fillId="46" borderId="8" applyNumberFormat="0" applyProtection="0">
      <alignment horizontal="left" vertical="center" indent="1"/>
    </xf>
    <xf numFmtId="0" fontId="45" fillId="8" borderId="9" applyNumberFormat="0" applyProtection="0">
      <alignment horizontal="left" vertical="top" indent="1"/>
    </xf>
    <xf numFmtId="0" fontId="16" fillId="45" borderId="8" applyNumberFormat="0" applyProtection="0">
      <alignment horizontal="left" vertical="center" indent="1"/>
    </xf>
    <xf numFmtId="0" fontId="45" fillId="121" borderId="69" applyNumberFormat="0" applyProtection="0">
      <alignment horizontal="left" vertical="center" indent="1"/>
    </xf>
    <xf numFmtId="0" fontId="45" fillId="121" borderId="69" applyNumberFormat="0" applyProtection="0">
      <alignment horizontal="left" vertical="center" indent="1"/>
    </xf>
    <xf numFmtId="0" fontId="45" fillId="121" borderId="69" applyNumberFormat="0" applyProtection="0">
      <alignment horizontal="left" vertical="center" indent="1"/>
    </xf>
    <xf numFmtId="0" fontId="16" fillId="45" borderId="8" applyNumberFormat="0" applyProtection="0">
      <alignment horizontal="left" vertical="center" indent="1"/>
    </xf>
    <xf numFmtId="0" fontId="45" fillId="2" borderId="9" applyNumberFormat="0" applyProtection="0">
      <alignment horizontal="left" vertical="top" indent="1"/>
    </xf>
    <xf numFmtId="0" fontId="16" fillId="122" borderId="8" applyNumberFormat="0" applyProtection="0">
      <alignment horizontal="left" vertical="center" indent="1"/>
    </xf>
    <xf numFmtId="0" fontId="45" fillId="6" borderId="69" applyNumberFormat="0" applyProtection="0">
      <alignment horizontal="left" vertical="center" indent="1"/>
    </xf>
    <xf numFmtId="0" fontId="45" fillId="6" borderId="69" applyNumberFormat="0" applyProtection="0">
      <alignment horizontal="left" vertical="center" indent="1"/>
    </xf>
    <xf numFmtId="0" fontId="45" fillId="6" borderId="69" applyNumberFormat="0" applyProtection="0">
      <alignment horizontal="left" vertical="center" indent="1"/>
    </xf>
    <xf numFmtId="0" fontId="16" fillId="122" borderId="8" applyNumberFormat="0" applyProtection="0">
      <alignment horizontal="left" vertical="center" indent="1"/>
    </xf>
    <xf numFmtId="0" fontId="45" fillId="6" borderId="9" applyNumberFormat="0" applyProtection="0">
      <alignment horizontal="left" vertical="top" indent="1"/>
    </xf>
    <xf numFmtId="0" fontId="16" fillId="107" borderId="8" applyNumberFormat="0" applyProtection="0">
      <alignment horizontal="left" vertical="center" indent="1"/>
    </xf>
    <xf numFmtId="0" fontId="45" fillId="41" borderId="69" applyNumberFormat="0" applyProtection="0">
      <alignment horizontal="left" vertical="center" indent="1"/>
    </xf>
    <xf numFmtId="0" fontId="45" fillId="41" borderId="69" applyNumberFormat="0" applyProtection="0">
      <alignment horizontal="left" vertical="center" indent="1"/>
    </xf>
    <xf numFmtId="0" fontId="45" fillId="41" borderId="69" applyNumberFormat="0" applyProtection="0">
      <alignment horizontal="left" vertical="center" indent="1"/>
    </xf>
    <xf numFmtId="0" fontId="16" fillId="107" borderId="8" applyNumberFormat="0" applyProtection="0">
      <alignment horizontal="left" vertical="center" indent="1"/>
    </xf>
    <xf numFmtId="0" fontId="45" fillId="41" borderId="9" applyNumberFormat="0" applyProtection="0">
      <alignment horizontal="left" vertical="top" indent="1"/>
    </xf>
    <xf numFmtId="0" fontId="3" fillId="0" borderId="0"/>
    <xf numFmtId="0" fontId="45" fillId="5" borderId="91" applyNumberFormat="0">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0" fillId="8" borderId="92" applyBorder="0"/>
    <xf numFmtId="4" fontId="18" fillId="123" borderId="8" applyNumberFormat="0" applyProtection="0">
      <alignment vertical="center"/>
    </xf>
    <xf numFmtId="4" fontId="121" fillId="4" borderId="9" applyNumberFormat="0" applyProtection="0">
      <alignment vertical="center"/>
    </xf>
    <xf numFmtId="4" fontId="40" fillId="123" borderId="8" applyNumberFormat="0" applyProtection="0">
      <alignment vertical="center"/>
    </xf>
    <xf numFmtId="4" fontId="118" fillId="123" borderId="11" applyNumberFormat="0" applyProtection="0">
      <alignment vertical="center"/>
    </xf>
    <xf numFmtId="4" fontId="18" fillId="123" borderId="8" applyNumberFormat="0" applyProtection="0">
      <alignment horizontal="left" vertical="center" indent="1"/>
    </xf>
    <xf numFmtId="4" fontId="121" fillId="10" borderId="9" applyNumberFormat="0" applyProtection="0">
      <alignment horizontal="left" vertical="center" indent="1"/>
    </xf>
    <xf numFmtId="4" fontId="18" fillId="123" borderId="8" applyNumberFormat="0" applyProtection="0">
      <alignment horizontal="left" vertical="center" indent="1"/>
    </xf>
    <xf numFmtId="0" fontId="121" fillId="4" borderId="9" applyNumberFormat="0" applyProtection="0">
      <alignment horizontal="left" vertical="top" indent="1"/>
    </xf>
    <xf numFmtId="4" fontId="18" fillId="119" borderId="8" applyNumberFormat="0" applyProtection="0">
      <alignment horizontal="right" vertical="center"/>
    </xf>
    <xf numFmtId="4" fontId="18" fillId="119" borderId="8" applyNumberFormat="0" applyProtection="0">
      <alignment horizontal="right" vertical="center"/>
    </xf>
    <xf numFmtId="4" fontId="45" fillId="0" borderId="69" applyNumberFormat="0" applyProtection="0">
      <alignment horizontal="right" vertical="center"/>
    </xf>
    <xf numFmtId="4" fontId="45" fillId="0" borderId="69" applyNumberFormat="0" applyProtection="0">
      <alignment horizontal="right" vertical="center"/>
    </xf>
    <xf numFmtId="4" fontId="45" fillId="0" borderId="69" applyNumberFormat="0" applyProtection="0">
      <alignment horizontal="right" vertical="center"/>
    </xf>
    <xf numFmtId="4" fontId="45" fillId="0" borderId="69" applyNumberFormat="0" applyProtection="0">
      <alignment horizontal="right" vertical="center"/>
    </xf>
    <xf numFmtId="4" fontId="40" fillId="119" borderId="8" applyNumberFormat="0" applyProtection="0">
      <alignment horizontal="right" vertical="center"/>
    </xf>
    <xf numFmtId="4" fontId="118" fillId="43" borderId="69" applyNumberFormat="0" applyProtection="0">
      <alignment horizontal="right" vertical="center"/>
    </xf>
    <xf numFmtId="0" fontId="16" fillId="107" borderId="8"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4" fontId="45" fillId="51" borderId="69" applyNumberFormat="0" applyProtection="0">
      <alignment horizontal="left" vertical="center" indent="1"/>
    </xf>
    <xf numFmtId="0" fontId="16" fillId="107" borderId="8" applyNumberFormat="0" applyProtection="0">
      <alignment horizontal="left" vertical="center" indent="1"/>
    </xf>
    <xf numFmtId="0" fontId="121" fillId="2" borderId="9" applyNumberFormat="0" applyProtection="0">
      <alignment horizontal="left" vertical="top" indent="1"/>
    </xf>
    <xf numFmtId="0" fontId="122" fillId="0" borderId="0"/>
    <xf numFmtId="4" fontId="123" fillId="42" borderId="83" applyNumberFormat="0" applyProtection="0">
      <alignment horizontal="left" vertical="center" indent="1"/>
    </xf>
    <xf numFmtId="0" fontId="45" fillId="124" borderId="11"/>
    <xf numFmtId="0" fontId="45" fillId="124" borderId="11"/>
    <xf numFmtId="0" fontId="45" fillId="124" borderId="11"/>
    <xf numFmtId="4" fontId="42" fillId="119" borderId="8" applyNumberFormat="0" applyProtection="0">
      <alignment horizontal="right" vertical="center"/>
    </xf>
    <xf numFmtId="4" fontId="124" fillId="5" borderId="69" applyNumberFormat="0" applyProtection="0">
      <alignment horizontal="right" vertical="center"/>
    </xf>
    <xf numFmtId="0" fontId="125" fillId="0" borderId="0" applyNumberFormat="0" applyFill="0" applyBorder="0" applyAlignment="0" applyProtection="0"/>
    <xf numFmtId="0" fontId="27" fillId="0" borderId="12" applyNumberFormat="0" applyFill="0" applyAlignment="0" applyProtection="0"/>
    <xf numFmtId="0" fontId="27" fillId="0" borderId="93" applyNumberFormat="0" applyFill="0" applyAlignment="0" applyProtection="0"/>
    <xf numFmtId="0" fontId="126" fillId="0" borderId="0" applyNumberFormat="0" applyFill="0" applyBorder="0" applyAlignment="0" applyProtection="0"/>
    <xf numFmtId="0" fontId="44" fillId="0" borderId="0" applyNumberFormat="0" applyFill="0" applyBorder="0" applyAlignment="0" applyProtection="0"/>
    <xf numFmtId="0" fontId="127" fillId="0" borderId="0" applyNumberFormat="0" applyFill="0" applyBorder="0" applyAlignment="0" applyProtection="0"/>
    <xf numFmtId="0" fontId="106" fillId="55" borderId="0" applyNumberFormat="0" applyBorder="0" applyAlignment="0" applyProtection="0"/>
    <xf numFmtId="0" fontId="105" fillId="63" borderId="0" applyNumberFormat="0" applyBorder="0" applyAlignment="0" applyProtection="0"/>
    <xf numFmtId="0" fontId="105" fillId="67" borderId="0" applyNumberFormat="0" applyBorder="0" applyAlignment="0" applyProtection="0"/>
    <xf numFmtId="0" fontId="105" fillId="71" borderId="0" applyNumberFormat="0" applyBorder="0" applyAlignment="0" applyProtection="0"/>
    <xf numFmtId="0" fontId="105" fillId="75" borderId="0" applyNumberFormat="0" applyBorder="0" applyAlignment="0" applyProtection="0"/>
    <xf numFmtId="0" fontId="105" fillId="79" borderId="0" applyNumberFormat="0" applyBorder="0" applyAlignment="0" applyProtection="0"/>
    <xf numFmtId="0" fontId="105" fillId="83"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59" borderId="8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0" borderId="0"/>
    <xf numFmtId="9" fontId="3" fillId="0" borderId="0" applyFont="0" applyFill="0" applyBorder="0" applyAlignment="0" applyProtection="0"/>
    <xf numFmtId="0" fontId="23" fillId="84" borderId="0" applyNumberFormat="0" applyBorder="0" applyAlignment="0" applyProtection="0"/>
    <xf numFmtId="0" fontId="23" fillId="7" borderId="0" applyNumberFormat="0" applyBorder="0" applyAlignment="0" applyProtection="0"/>
    <xf numFmtId="0" fontId="23" fillId="85" borderId="0" applyNumberFormat="0" applyBorder="0" applyAlignment="0" applyProtection="0"/>
    <xf numFmtId="0" fontId="23" fillId="86" borderId="0" applyNumberFormat="0" applyBorder="0" applyAlignment="0" applyProtection="0"/>
    <xf numFmtId="0" fontId="23" fillId="87" borderId="0" applyNumberFormat="0" applyBorder="0" applyAlignment="0" applyProtection="0"/>
    <xf numFmtId="0" fontId="23" fillId="11" borderId="0" applyNumberFormat="0" applyBorder="0" applyAlignment="0" applyProtection="0"/>
    <xf numFmtId="0" fontId="16" fillId="0" borderId="0"/>
    <xf numFmtId="0" fontId="23" fillId="6" borderId="0" applyNumberFormat="0" applyBorder="0" applyAlignment="0" applyProtection="0"/>
    <xf numFmtId="0" fontId="23" fillId="3" borderId="0" applyNumberFormat="0" applyBorder="0" applyAlignment="0" applyProtection="0"/>
    <xf numFmtId="0" fontId="23" fillId="39" borderId="0" applyNumberFormat="0" applyBorder="0" applyAlignment="0" applyProtection="0"/>
    <xf numFmtId="0" fontId="23" fillId="86" borderId="0" applyNumberFormat="0" applyBorder="0" applyAlignment="0" applyProtection="0"/>
    <xf numFmtId="0" fontId="23" fillId="6" borderId="0" applyNumberFormat="0" applyBorder="0" applyAlignment="0" applyProtection="0"/>
    <xf numFmtId="0" fontId="23" fillId="35" borderId="0" applyNumberFormat="0" applyBorder="0" applyAlignment="0" applyProtection="0"/>
    <xf numFmtId="0" fontId="3" fillId="0" borderId="0"/>
    <xf numFmtId="0" fontId="16"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6"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111" fillId="0" borderId="0"/>
    <xf numFmtId="0" fontId="18" fillId="4" borderId="7" applyNumberFormat="0" applyFont="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4" fontId="3" fillId="0" borderId="0" applyFont="0" applyFill="0" applyBorder="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59" borderId="81" applyNumberFormat="0" applyFont="0" applyAlignment="0" applyProtection="0"/>
    <xf numFmtId="0" fontId="3" fillId="0" borderId="0"/>
    <xf numFmtId="0" fontId="3" fillId="0" borderId="0"/>
    <xf numFmtId="0" fontId="3" fillId="0" borderId="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59" borderId="8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61"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59" borderId="81" applyNumberFormat="0" applyFont="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8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78"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81" applyNumberFormat="0" applyFont="0" applyAlignment="0" applyProtection="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59" borderId="81" applyNumberFormat="0" applyFont="0" applyAlignment="0" applyProtection="0"/>
    <xf numFmtId="0" fontId="16" fillId="0" borderId="0"/>
    <xf numFmtId="43" fontId="3" fillId="0" borderId="0" applyFont="0" applyFill="0" applyBorder="0" applyAlignment="0" applyProtection="0"/>
    <xf numFmtId="4" fontId="45" fillId="0" borderId="69" applyNumberFormat="0" applyProtection="0">
      <alignment horizontal="right" vertical="center"/>
    </xf>
    <xf numFmtId="4" fontId="18" fillId="123" borderId="8" applyNumberFormat="0" applyProtection="0">
      <alignment vertical="center"/>
    </xf>
    <xf numFmtId="4" fontId="45" fillId="34" borderId="83" applyNumberFormat="0" applyProtection="0">
      <alignment horizontal="right" vertical="center"/>
    </xf>
    <xf numFmtId="4" fontId="45" fillId="40" borderId="83" applyNumberFormat="0" applyProtection="0">
      <alignment horizontal="left" vertical="center" indent="1"/>
    </xf>
    <xf numFmtId="4" fontId="45" fillId="37" borderId="69" applyNumberFormat="0" applyProtection="0">
      <alignment horizontal="right" vertical="center"/>
    </xf>
    <xf numFmtId="4" fontId="40" fillId="106" borderId="8" applyNumberFormat="0" applyProtection="0">
      <alignment vertical="center"/>
    </xf>
    <xf numFmtId="0" fontId="16" fillId="107" borderId="8" applyNumberFormat="0" applyProtection="0">
      <alignment horizontal="left" vertical="center" indent="1"/>
    </xf>
    <xf numFmtId="4" fontId="45" fillId="37" borderId="69" applyNumberFormat="0" applyProtection="0">
      <alignment horizontal="right" vertical="center"/>
    </xf>
    <xf numFmtId="4" fontId="45" fillId="0" borderId="69" applyNumberFormat="0" applyProtection="0">
      <alignment horizontal="right" vertical="center"/>
    </xf>
    <xf numFmtId="0" fontId="45" fillId="41" borderId="69" applyNumberFormat="0" applyProtection="0">
      <alignment horizontal="left" vertical="center" indent="1"/>
    </xf>
    <xf numFmtId="0" fontId="16" fillId="46" borderId="8" applyNumberFormat="0" applyProtection="0">
      <alignment horizontal="left" vertical="center" indent="1"/>
    </xf>
    <xf numFmtId="4" fontId="18" fillId="106" borderId="8" applyNumberFormat="0" applyProtection="0">
      <alignment horizontal="left" vertical="center" indent="1"/>
    </xf>
    <xf numFmtId="4" fontId="18" fillId="119" borderId="90" applyNumberFormat="0" applyProtection="0">
      <alignment horizontal="left" vertical="center" indent="1"/>
    </xf>
    <xf numFmtId="0" fontId="45" fillId="10" borderId="69" applyNumberFormat="0" applyProtection="0">
      <alignment horizontal="left" vertical="center" indent="1"/>
    </xf>
    <xf numFmtId="4" fontId="45" fillId="35" borderId="69" applyNumberFormat="0" applyProtection="0">
      <alignment horizontal="right" vertical="center"/>
    </xf>
    <xf numFmtId="0" fontId="119" fillId="33" borderId="9" applyNumberFormat="0" applyProtection="0">
      <alignment horizontal="left" vertical="top" indent="1"/>
    </xf>
    <xf numFmtId="0" fontId="120" fillId="8" borderId="92" applyBorder="0"/>
    <xf numFmtId="0" fontId="45" fillId="121" borderId="69" applyNumberFormat="0" applyProtection="0">
      <alignment horizontal="left" vertical="center" indent="1"/>
    </xf>
    <xf numFmtId="0" fontId="45" fillId="41" borderId="9" applyNumberFormat="0" applyProtection="0">
      <alignment horizontal="left" vertical="top" indent="1"/>
    </xf>
    <xf numFmtId="4" fontId="45" fillId="39" borderId="69" applyNumberFormat="0" applyProtection="0">
      <alignment horizontal="right" vertical="center"/>
    </xf>
    <xf numFmtId="4" fontId="45" fillId="35" borderId="69" applyNumberFormat="0" applyProtection="0">
      <alignment horizontal="right" vertical="center"/>
    </xf>
    <xf numFmtId="0" fontId="45" fillId="10" borderId="69" applyNumberFormat="0" applyProtection="0">
      <alignment horizontal="left" vertical="center" indent="1"/>
    </xf>
    <xf numFmtId="4" fontId="18" fillId="113" borderId="8" applyNumberFormat="0" applyProtection="0">
      <alignment horizontal="right" vertical="center"/>
    </xf>
    <xf numFmtId="0" fontId="45" fillId="10" borderId="69" applyNumberFormat="0" applyProtection="0">
      <alignment horizontal="left" vertical="center" indent="1"/>
    </xf>
    <xf numFmtId="4" fontId="124" fillId="5" borderId="69" applyNumberFormat="0" applyProtection="0">
      <alignment horizontal="right" vertical="center"/>
    </xf>
    <xf numFmtId="4" fontId="18" fillId="117" borderId="8" applyNumberFormat="0" applyProtection="0">
      <alignment horizontal="right" vertical="center"/>
    </xf>
    <xf numFmtId="4" fontId="45" fillId="33" borderId="69" applyNumberFormat="0" applyProtection="0">
      <alignment vertical="center"/>
    </xf>
    <xf numFmtId="4" fontId="45" fillId="37" borderId="69" applyNumberFormat="0" applyProtection="0">
      <alignment horizontal="right" vertical="center"/>
    </xf>
    <xf numFmtId="0" fontId="45" fillId="121" borderId="69" applyNumberFormat="0" applyProtection="0">
      <alignment horizontal="left" vertical="center" indent="1"/>
    </xf>
    <xf numFmtId="4" fontId="18" fillId="46" borderId="8" applyNumberFormat="0" applyProtection="0">
      <alignment horizontal="left" vertical="center" indent="1"/>
    </xf>
    <xf numFmtId="4" fontId="45" fillId="37" borderId="69" applyNumberFormat="0" applyProtection="0">
      <alignment horizontal="right" vertical="center"/>
    </xf>
    <xf numFmtId="4" fontId="37" fillId="118" borderId="8" applyNumberFormat="0" applyProtection="0">
      <alignment horizontal="left" vertical="center" indent="1"/>
    </xf>
    <xf numFmtId="4" fontId="45" fillId="9" borderId="69" applyNumberFormat="0" applyProtection="0">
      <alignment horizontal="right" vertical="center"/>
    </xf>
    <xf numFmtId="0" fontId="45" fillId="6" borderId="69" applyNumberFormat="0" applyProtection="0">
      <alignment horizontal="left" vertical="center" indent="1"/>
    </xf>
    <xf numFmtId="0" fontId="121" fillId="4" borderId="9" applyNumberFormat="0" applyProtection="0">
      <alignment horizontal="left" vertical="top" indent="1"/>
    </xf>
    <xf numFmtId="4" fontId="45" fillId="41" borderId="83" applyNumberFormat="0" applyProtection="0">
      <alignment horizontal="left" vertical="center" indent="1"/>
    </xf>
    <xf numFmtId="0" fontId="45" fillId="124" borderId="94"/>
    <xf numFmtId="4" fontId="45" fillId="51" borderId="69" applyNumberFormat="0" applyProtection="0">
      <alignment horizontal="left" vertical="center" indent="1"/>
    </xf>
    <xf numFmtId="0" fontId="36" fillId="10" borderId="8" applyNumberFormat="0" applyAlignment="0" applyProtection="0"/>
    <xf numFmtId="0" fontId="18" fillId="4" borderId="7" applyNumberFormat="0" applyFont="0" applyAlignment="0" applyProtection="0"/>
    <xf numFmtId="4" fontId="18" fillId="112" borderId="8" applyNumberFormat="0" applyProtection="0">
      <alignment horizontal="right" vertical="center"/>
    </xf>
    <xf numFmtId="0" fontId="16" fillId="45" borderId="8" applyNumberFormat="0" applyProtection="0">
      <alignment horizontal="left" vertical="center" indent="1"/>
    </xf>
    <xf numFmtId="0" fontId="16" fillId="46" borderId="8" applyNumberFormat="0" applyProtection="0">
      <alignment horizontal="left" vertical="center" indent="1"/>
    </xf>
    <xf numFmtId="4" fontId="45" fillId="38" borderId="69" applyNumberFormat="0" applyProtection="0">
      <alignment horizontal="right" vertical="center"/>
    </xf>
    <xf numFmtId="4" fontId="18" fillId="108" borderId="8" applyNumberFormat="0" applyProtection="0">
      <alignment horizontal="right" vertical="center"/>
    </xf>
    <xf numFmtId="4" fontId="45" fillId="51" borderId="69" applyNumberFormat="0" applyProtection="0">
      <alignment horizontal="left" vertical="center" indent="1"/>
    </xf>
    <xf numFmtId="0" fontId="45" fillId="41" borderId="69" applyNumberFormat="0" applyProtection="0">
      <alignment horizontal="left" vertical="center" indent="1"/>
    </xf>
    <xf numFmtId="4" fontId="45" fillId="2" borderId="69" applyNumberFormat="0" applyProtection="0">
      <alignment horizontal="right" vertical="center"/>
    </xf>
    <xf numFmtId="0" fontId="16" fillId="107" borderId="8" applyNumberFormat="0" applyProtection="0">
      <alignment horizontal="left" vertical="center" indent="1"/>
    </xf>
    <xf numFmtId="4" fontId="18" fillId="109" borderId="8" applyNumberFormat="0" applyProtection="0">
      <alignment horizontal="right" vertical="center"/>
    </xf>
    <xf numFmtId="0" fontId="45" fillId="6" borderId="69" applyNumberFormat="0" applyProtection="0">
      <alignment horizontal="left" vertical="center" indent="1"/>
    </xf>
    <xf numFmtId="4" fontId="45" fillId="51" borderId="69" applyNumberFormat="0" applyProtection="0">
      <alignment horizontal="left" vertical="center" indent="1"/>
    </xf>
    <xf numFmtId="4" fontId="45" fillId="41" borderId="83" applyNumberFormat="0" applyProtection="0">
      <alignment horizontal="left" vertical="center" indent="1"/>
    </xf>
    <xf numFmtId="0" fontId="16" fillId="107" borderId="8" applyNumberFormat="0" applyProtection="0">
      <alignment horizontal="left" vertical="center" indent="1"/>
    </xf>
    <xf numFmtId="4" fontId="18" fillId="119" borderId="8" applyNumberFormat="0" applyProtection="0">
      <alignment horizontal="right" vertical="center"/>
    </xf>
    <xf numFmtId="4" fontId="40" fillId="106" borderId="8" applyNumberFormat="0" applyProtection="0">
      <alignment vertical="center"/>
    </xf>
    <xf numFmtId="4" fontId="18" fillId="119" borderId="8" applyNumberFormat="0" applyProtection="0">
      <alignment horizontal="right" vertical="center"/>
    </xf>
    <xf numFmtId="4" fontId="45" fillId="40" borderId="83" applyNumberFormat="0" applyProtection="0">
      <alignment horizontal="left" vertical="center" indent="1"/>
    </xf>
    <xf numFmtId="0" fontId="45" fillId="2" borderId="9" applyNumberFormat="0" applyProtection="0">
      <alignment horizontal="left" vertical="top" indent="1"/>
    </xf>
    <xf numFmtId="4" fontId="45" fillId="33" borderId="69" applyNumberFormat="0" applyProtection="0">
      <alignment vertical="center"/>
    </xf>
    <xf numFmtId="4" fontId="118" fillId="123" borderId="94" applyNumberFormat="0" applyProtection="0">
      <alignment vertical="center"/>
    </xf>
    <xf numFmtId="0" fontId="121" fillId="2" borderId="9" applyNumberFormat="0" applyProtection="0">
      <alignment horizontal="left" vertical="top" indent="1"/>
    </xf>
    <xf numFmtId="4" fontId="45" fillId="37" borderId="69" applyNumberFormat="0" applyProtection="0">
      <alignment horizontal="right" vertical="center"/>
    </xf>
    <xf numFmtId="0" fontId="109" fillId="101" borderId="69" applyNumberFormat="0" applyAlignment="0" applyProtection="0"/>
    <xf numFmtId="4" fontId="45" fillId="51" borderId="69" applyNumberFormat="0" applyProtection="0">
      <alignment horizontal="left" vertical="center" indent="1"/>
    </xf>
    <xf numFmtId="4" fontId="40" fillId="123" borderId="8" applyNumberFormat="0" applyProtection="0">
      <alignment vertical="center"/>
    </xf>
    <xf numFmtId="4" fontId="45" fillId="33" borderId="69" applyNumberFormat="0" applyProtection="0">
      <alignment vertical="center"/>
    </xf>
    <xf numFmtId="0" fontId="16" fillId="107" borderId="8" applyNumberFormat="0" applyProtection="0">
      <alignment horizontal="left" vertical="center" indent="1"/>
    </xf>
    <xf numFmtId="4" fontId="45" fillId="40" borderId="83" applyNumberFormat="0" applyProtection="0">
      <alignment horizontal="left" vertical="center" indent="1"/>
    </xf>
    <xf numFmtId="4" fontId="18" fillId="119" borderId="8" applyNumberFormat="0" applyProtection="0">
      <alignment horizontal="right" vertical="center"/>
    </xf>
    <xf numFmtId="0" fontId="16" fillId="107" borderId="8" applyNumberFormat="0" applyProtection="0">
      <alignment horizontal="left" vertical="center" indent="1"/>
    </xf>
    <xf numFmtId="4" fontId="45" fillId="39" borderId="69" applyNumberFormat="0" applyProtection="0">
      <alignment horizontal="right" vertical="center"/>
    </xf>
    <xf numFmtId="0" fontId="33" fillId="27" borderId="69" applyNumberFormat="0" applyAlignment="0" applyProtection="0"/>
    <xf numFmtId="4" fontId="18" fillId="112" borderId="8" applyNumberFormat="0" applyProtection="0">
      <alignment horizontal="right" vertical="center"/>
    </xf>
    <xf numFmtId="4" fontId="45" fillId="38" borderId="69" applyNumberFormat="0" applyProtection="0">
      <alignment horizontal="right" vertical="center"/>
    </xf>
    <xf numFmtId="4" fontId="45" fillId="106" borderId="69" applyNumberFormat="0" applyProtection="0">
      <alignment horizontal="left" vertical="center" indent="1"/>
    </xf>
    <xf numFmtId="4" fontId="45" fillId="36" borderId="69" applyNumberFormat="0" applyProtection="0">
      <alignment horizontal="right" vertical="center"/>
    </xf>
    <xf numFmtId="4" fontId="45" fillId="41" borderId="83" applyNumberFormat="0" applyProtection="0">
      <alignment horizontal="left" vertical="center" indent="1"/>
    </xf>
    <xf numFmtId="4" fontId="45" fillId="110" borderId="69" applyNumberFormat="0" applyProtection="0">
      <alignment horizontal="right" vertical="center"/>
    </xf>
    <xf numFmtId="4" fontId="45" fillId="2" borderId="83" applyNumberFormat="0" applyProtection="0">
      <alignment horizontal="left" vertical="center" indent="1"/>
    </xf>
    <xf numFmtId="4" fontId="45" fillId="39" borderId="69" applyNumberFormat="0" applyProtection="0">
      <alignment horizontal="right" vertical="center"/>
    </xf>
    <xf numFmtId="4" fontId="45" fillId="41" borderId="83" applyNumberFormat="0" applyProtection="0">
      <alignment horizontal="left" vertical="center" indent="1"/>
    </xf>
    <xf numFmtId="4" fontId="18" fillId="106" borderId="8" applyNumberFormat="0" applyProtection="0">
      <alignment horizontal="left" vertical="center" indent="1"/>
    </xf>
    <xf numFmtId="4" fontId="18" fillId="115" borderId="8" applyNumberFormat="0" applyProtection="0">
      <alignment horizontal="right" vertical="center"/>
    </xf>
    <xf numFmtId="4" fontId="18" fillId="106" borderId="8" applyNumberFormat="0" applyProtection="0">
      <alignment horizontal="left" vertical="center" indent="1"/>
    </xf>
    <xf numFmtId="4" fontId="45" fillId="38" borderId="69" applyNumberFormat="0" applyProtection="0">
      <alignment horizontal="right" vertical="center"/>
    </xf>
    <xf numFmtId="4" fontId="45" fillId="2" borderId="83" applyNumberFormat="0" applyProtection="0">
      <alignment horizontal="left" vertical="center" indent="1"/>
    </xf>
    <xf numFmtId="4" fontId="45" fillId="35" borderId="69" applyNumberFormat="0" applyProtection="0">
      <alignment horizontal="right" vertical="center"/>
    </xf>
    <xf numFmtId="0" fontId="45" fillId="2" borderId="9" applyNumberFormat="0" applyProtection="0">
      <alignment horizontal="left" vertical="top" indent="1"/>
    </xf>
    <xf numFmtId="4" fontId="45" fillId="7" borderId="69" applyNumberFormat="0" applyProtection="0">
      <alignment horizontal="right" vertical="center"/>
    </xf>
    <xf numFmtId="0" fontId="36" fillId="10" borderId="8" applyNumberFormat="0" applyAlignment="0" applyProtection="0"/>
    <xf numFmtId="4" fontId="45" fillId="51" borderId="69" applyNumberFormat="0" applyProtection="0">
      <alignment horizontal="left" vertical="center" indent="1"/>
    </xf>
    <xf numFmtId="4" fontId="45" fillId="40" borderId="83" applyNumberFormat="0" applyProtection="0">
      <alignment horizontal="left" vertical="center" indent="1"/>
    </xf>
    <xf numFmtId="0" fontId="45" fillId="41" borderId="9" applyNumberFormat="0" applyProtection="0">
      <alignment horizontal="left" vertical="top" indent="1"/>
    </xf>
    <xf numFmtId="4" fontId="45" fillId="37" borderId="69" applyNumberFormat="0" applyProtection="0">
      <alignment horizontal="right" vertical="center"/>
    </xf>
    <xf numFmtId="0" fontId="16" fillId="122" borderId="8" applyNumberFormat="0" applyProtection="0">
      <alignment horizontal="left" vertical="center" indent="1"/>
    </xf>
    <xf numFmtId="0" fontId="36" fillId="101" borderId="8" applyNumberFormat="0" applyAlignment="0" applyProtection="0"/>
    <xf numFmtId="0" fontId="110" fillId="10" borderId="1" applyNumberFormat="0" applyAlignment="0" applyProtection="0"/>
    <xf numFmtId="4" fontId="18" fillId="123" borderId="8" applyNumberFormat="0" applyProtection="0">
      <alignment horizontal="left" vertical="center" indent="1"/>
    </xf>
    <xf numFmtId="4" fontId="45" fillId="34" borderId="83" applyNumberFormat="0" applyProtection="0">
      <alignment horizontal="right" vertical="center"/>
    </xf>
    <xf numFmtId="4" fontId="18" fillId="46" borderId="8" applyNumberFormat="0" applyProtection="0">
      <alignment horizontal="left" vertical="center" indent="1"/>
    </xf>
    <xf numFmtId="4" fontId="121" fillId="10" borderId="9" applyNumberFormat="0" applyProtection="0">
      <alignment horizontal="left" vertical="center" indent="1"/>
    </xf>
    <xf numFmtId="4" fontId="45" fillId="41" borderId="83" applyNumberFormat="0" applyProtection="0">
      <alignment horizontal="left" vertical="center" indent="1"/>
    </xf>
    <xf numFmtId="0" fontId="45" fillId="41" borderId="69" applyNumberFormat="0" applyProtection="0">
      <alignment horizontal="left" vertical="center" indent="1"/>
    </xf>
    <xf numFmtId="4" fontId="123" fillId="42" borderId="83" applyNumberFormat="0" applyProtection="0">
      <alignment horizontal="left" vertical="center" indent="1"/>
    </xf>
    <xf numFmtId="4" fontId="45" fillId="51" borderId="69" applyNumberFormat="0" applyProtection="0">
      <alignment horizontal="left" vertical="center" indent="1"/>
    </xf>
    <xf numFmtId="0" fontId="16" fillId="107" borderId="8" applyNumberFormat="0" applyProtection="0">
      <alignment horizontal="left" vertical="center" indent="1"/>
    </xf>
    <xf numFmtId="0" fontId="45" fillId="124" borderId="94"/>
    <xf numFmtId="0" fontId="45" fillId="6" borderId="69" applyNumberFormat="0" applyProtection="0">
      <alignment horizontal="left" vertical="center" indent="1"/>
    </xf>
    <xf numFmtId="0" fontId="16" fillId="107" borderId="8" applyNumberFormat="0" applyProtection="0">
      <alignment horizontal="left" vertical="center" indent="1"/>
    </xf>
    <xf numFmtId="4" fontId="45" fillId="38" borderId="69" applyNumberFormat="0" applyProtection="0">
      <alignment horizontal="right" vertical="center"/>
    </xf>
    <xf numFmtId="4" fontId="45" fillId="2" borderId="69" applyNumberFormat="0" applyProtection="0">
      <alignment horizontal="right" vertical="center"/>
    </xf>
    <xf numFmtId="4" fontId="18" fillId="111" borderId="8" applyNumberFormat="0" applyProtection="0">
      <alignment horizontal="right" vertical="center"/>
    </xf>
    <xf numFmtId="4" fontId="45" fillId="35" borderId="69" applyNumberFormat="0" applyProtection="0">
      <alignment horizontal="right" vertical="center"/>
    </xf>
    <xf numFmtId="4" fontId="18" fillId="119" borderId="8" applyNumberFormat="0" applyProtection="0">
      <alignment horizontal="left" vertical="center" indent="1"/>
    </xf>
    <xf numFmtId="4" fontId="18" fillId="119" borderId="8" applyNumberFormat="0" applyProtection="0">
      <alignment horizontal="right" vertical="center"/>
    </xf>
    <xf numFmtId="0" fontId="18" fillId="4" borderId="7" applyNumberFormat="0" applyFont="0" applyAlignment="0" applyProtection="0"/>
    <xf numFmtId="0" fontId="45" fillId="6" borderId="9" applyNumberFormat="0" applyProtection="0">
      <alignment horizontal="left" vertical="top" indent="1"/>
    </xf>
    <xf numFmtId="0" fontId="27" fillId="0" borderId="93" applyNumberFormat="0" applyFill="0" applyAlignment="0" applyProtection="0"/>
    <xf numFmtId="0" fontId="45" fillId="10" borderId="69" applyNumberFormat="0" applyProtection="0">
      <alignment horizontal="left" vertical="center" indent="1"/>
    </xf>
    <xf numFmtId="4" fontId="18" fillId="117" borderId="8" applyNumberFormat="0" applyProtection="0">
      <alignment horizontal="right" vertical="center"/>
    </xf>
    <xf numFmtId="4" fontId="18" fillId="123" borderId="8" applyNumberFormat="0" applyProtection="0">
      <alignment vertical="center"/>
    </xf>
    <xf numFmtId="4" fontId="45" fillId="51" borderId="69" applyNumberFormat="0" applyProtection="0">
      <alignment horizontal="left" vertical="center" indent="1"/>
    </xf>
    <xf numFmtId="0" fontId="16" fillId="122" borderId="8" applyNumberFormat="0" applyProtection="0">
      <alignment horizontal="left" vertical="center" indent="1"/>
    </xf>
    <xf numFmtId="4" fontId="45" fillId="9" borderId="69" applyNumberFormat="0" applyProtection="0">
      <alignment horizontal="right" vertical="center"/>
    </xf>
    <xf numFmtId="4" fontId="18" fillId="114" borderId="8" applyNumberFormat="0" applyProtection="0">
      <alignment horizontal="right" vertical="center"/>
    </xf>
    <xf numFmtId="4" fontId="45" fillId="36" borderId="69" applyNumberFormat="0" applyProtection="0">
      <alignment horizontal="right" vertical="center"/>
    </xf>
    <xf numFmtId="4" fontId="45" fillId="34" borderId="83" applyNumberFormat="0" applyProtection="0">
      <alignment horizontal="right" vertical="center"/>
    </xf>
    <xf numFmtId="0" fontId="27" fillId="0" borderId="12" applyNumberFormat="0" applyFill="0" applyAlignment="0" applyProtection="0"/>
    <xf numFmtId="4" fontId="45" fillId="7" borderId="69" applyNumberFormat="0" applyProtection="0">
      <alignment horizontal="right" vertical="center"/>
    </xf>
    <xf numFmtId="4" fontId="45" fillId="40" borderId="83" applyNumberFormat="0" applyProtection="0">
      <alignment horizontal="left" vertical="center" indent="1"/>
    </xf>
    <xf numFmtId="4" fontId="45" fillId="110" borderId="69" applyNumberFormat="0" applyProtection="0">
      <alignment horizontal="right" vertical="center"/>
    </xf>
    <xf numFmtId="4" fontId="45" fillId="7" borderId="69" applyNumberFormat="0" applyProtection="0">
      <alignment horizontal="right" vertical="center"/>
    </xf>
    <xf numFmtId="4" fontId="45" fillId="51" borderId="69" applyNumberFormat="0" applyProtection="0">
      <alignment horizontal="left" vertical="center" indent="1"/>
    </xf>
    <xf numFmtId="4" fontId="45" fillId="110" borderId="69" applyNumberFormat="0" applyProtection="0">
      <alignment horizontal="right" vertical="center"/>
    </xf>
    <xf numFmtId="0" fontId="45" fillId="121" borderId="69" applyNumberFormat="0" applyProtection="0">
      <alignment horizontal="left" vertical="center" indent="1"/>
    </xf>
    <xf numFmtId="4" fontId="45" fillId="51" borderId="69" applyNumberFormat="0" applyProtection="0">
      <alignment horizontal="left" vertical="center" indent="1"/>
    </xf>
    <xf numFmtId="4" fontId="45" fillId="36" borderId="69" applyNumberFormat="0" applyProtection="0">
      <alignment horizontal="right" vertical="center"/>
    </xf>
    <xf numFmtId="4" fontId="45" fillId="2" borderId="69" applyNumberFormat="0" applyProtection="0">
      <alignment horizontal="right" vertical="center"/>
    </xf>
    <xf numFmtId="4" fontId="45" fillId="51" borderId="69" applyNumberFormat="0" applyProtection="0">
      <alignment horizontal="left" vertical="center" indent="1"/>
    </xf>
    <xf numFmtId="0" fontId="121" fillId="4" borderId="9" applyNumberFormat="0" applyProtection="0">
      <alignment horizontal="left" vertical="top" indent="1"/>
    </xf>
    <xf numFmtId="0" fontId="16" fillId="107" borderId="8" applyNumberFormat="0" applyProtection="0">
      <alignment horizontal="left" vertical="center" indent="1"/>
    </xf>
    <xf numFmtId="4" fontId="45" fillId="36" borderId="69" applyNumberFormat="0" applyProtection="0">
      <alignment horizontal="right" vertical="center"/>
    </xf>
    <xf numFmtId="4" fontId="45" fillId="35" borderId="69" applyNumberFormat="0" applyProtection="0">
      <alignment horizontal="right" vertical="center"/>
    </xf>
    <xf numFmtId="0" fontId="45" fillId="121" borderId="69" applyNumberFormat="0" applyProtection="0">
      <alignment horizontal="left" vertical="center" indent="1"/>
    </xf>
    <xf numFmtId="0" fontId="45" fillId="6" borderId="69" applyNumberFormat="0" applyProtection="0">
      <alignment horizontal="left" vertical="center" indent="1"/>
    </xf>
    <xf numFmtId="4" fontId="118" fillId="106" borderId="69" applyNumberFormat="0" applyProtection="0">
      <alignment vertical="center"/>
    </xf>
    <xf numFmtId="4" fontId="45" fillId="33" borderId="69" applyNumberFormat="0" applyProtection="0">
      <alignment vertical="center"/>
    </xf>
    <xf numFmtId="4" fontId="118" fillId="106" borderId="69" applyNumberFormat="0" applyProtection="0">
      <alignment vertical="center"/>
    </xf>
    <xf numFmtId="0" fontId="16" fillId="46" borderId="8" applyNumberFormat="0" applyProtection="0">
      <alignment horizontal="left" vertical="center" indent="1"/>
    </xf>
    <xf numFmtId="4" fontId="45" fillId="34" borderId="83" applyNumberFormat="0" applyProtection="0">
      <alignment horizontal="right" vertical="center"/>
    </xf>
    <xf numFmtId="4" fontId="45" fillId="106" borderId="69" applyNumberFormat="0" applyProtection="0">
      <alignment horizontal="left" vertical="center" indent="1"/>
    </xf>
    <xf numFmtId="4" fontId="16" fillId="8" borderId="83" applyNumberFormat="0" applyProtection="0">
      <alignment horizontal="left" vertical="center" indent="1"/>
    </xf>
    <xf numFmtId="0" fontId="45" fillId="6" borderId="69" applyNumberFormat="0" applyProtection="0">
      <alignment horizontal="left" vertical="center" indent="1"/>
    </xf>
    <xf numFmtId="4" fontId="16" fillId="8" borderId="83" applyNumberFormat="0" applyProtection="0">
      <alignment horizontal="left" vertical="center" indent="1"/>
    </xf>
    <xf numFmtId="0" fontId="16" fillId="46" borderId="8" applyNumberFormat="0" applyProtection="0">
      <alignment horizontal="left" vertical="center" indent="1"/>
    </xf>
    <xf numFmtId="0" fontId="16" fillId="107" borderId="8" applyNumberFormat="0" applyProtection="0">
      <alignment horizontal="left" vertical="center" indent="1"/>
    </xf>
    <xf numFmtId="4" fontId="18" fillId="106" borderId="8" applyNumberFormat="0" applyProtection="0">
      <alignment vertical="center"/>
    </xf>
    <xf numFmtId="4" fontId="45" fillId="36" borderId="69" applyNumberFormat="0" applyProtection="0">
      <alignment horizontal="right" vertical="center"/>
    </xf>
    <xf numFmtId="4" fontId="16" fillId="8" borderId="83" applyNumberFormat="0" applyProtection="0">
      <alignment horizontal="left" vertical="center" indent="1"/>
    </xf>
    <xf numFmtId="4" fontId="37" fillId="118" borderId="8" applyNumberFormat="0" applyProtection="0">
      <alignment horizontal="left" vertical="center" indent="1"/>
    </xf>
    <xf numFmtId="4" fontId="18" fillId="116" borderId="8" applyNumberFormat="0" applyProtection="0">
      <alignment horizontal="right" vertical="center"/>
    </xf>
    <xf numFmtId="4" fontId="18" fillId="106" borderId="8" applyNumberFormat="0" applyProtection="0">
      <alignment vertical="center"/>
    </xf>
    <xf numFmtId="4" fontId="40" fillId="123" borderId="8" applyNumberFormat="0" applyProtection="0">
      <alignment vertical="center"/>
    </xf>
    <xf numFmtId="4" fontId="40" fillId="119" borderId="8" applyNumberFormat="0" applyProtection="0">
      <alignment horizontal="right" vertical="center"/>
    </xf>
    <xf numFmtId="4" fontId="18" fillId="114" borderId="8" applyNumberFormat="0" applyProtection="0">
      <alignment horizontal="right" vertical="center"/>
    </xf>
    <xf numFmtId="0" fontId="18" fillId="4" borderId="7" applyNumberFormat="0" applyFont="0" applyAlignment="0" applyProtection="0"/>
    <xf numFmtId="4" fontId="18" fillId="108" borderId="8" applyNumberFormat="0" applyProtection="0">
      <alignment horizontal="right" vertical="center"/>
    </xf>
    <xf numFmtId="4" fontId="45" fillId="9" borderId="69" applyNumberFormat="0" applyProtection="0">
      <alignment horizontal="right" vertical="center"/>
    </xf>
    <xf numFmtId="4" fontId="124" fillId="5" borderId="69" applyNumberFormat="0" applyProtection="0">
      <alignment horizontal="right" vertical="center"/>
    </xf>
    <xf numFmtId="0" fontId="16" fillId="122" borderId="8" applyNumberFormat="0" applyProtection="0">
      <alignment horizontal="left" vertical="center" indent="1"/>
    </xf>
    <xf numFmtId="0" fontId="45" fillId="41" borderId="69" applyNumberFormat="0" applyProtection="0">
      <alignment horizontal="left" vertical="center" indent="1"/>
    </xf>
    <xf numFmtId="0" fontId="45" fillId="121" borderId="69" applyNumberFormat="0" applyProtection="0">
      <alignment horizontal="left" vertical="center" indent="1"/>
    </xf>
    <xf numFmtId="4" fontId="45" fillId="34" borderId="83" applyNumberFormat="0" applyProtection="0">
      <alignment horizontal="right" vertical="center"/>
    </xf>
    <xf numFmtId="4" fontId="45" fillId="106" borderId="69" applyNumberFormat="0" applyProtection="0">
      <alignment horizontal="left" vertical="center" indent="1"/>
    </xf>
    <xf numFmtId="0" fontId="45" fillId="8" borderId="9" applyNumberFormat="0" applyProtection="0">
      <alignment horizontal="left" vertical="top" indent="1"/>
    </xf>
    <xf numFmtId="4" fontId="45" fillId="34" borderId="83" applyNumberFormat="0" applyProtection="0">
      <alignment horizontal="right" vertical="center"/>
    </xf>
    <xf numFmtId="4" fontId="45" fillId="2" borderId="83" applyNumberFormat="0" applyProtection="0">
      <alignment horizontal="left" vertical="center" indent="1"/>
    </xf>
    <xf numFmtId="4" fontId="45" fillId="40" borderId="83" applyNumberFormat="0" applyProtection="0">
      <alignment horizontal="left" vertical="center" indent="1"/>
    </xf>
    <xf numFmtId="4" fontId="45" fillId="2" borderId="69" applyNumberFormat="0" applyProtection="0">
      <alignment horizontal="right" vertical="center"/>
    </xf>
    <xf numFmtId="0" fontId="45" fillId="8" borderId="9" applyNumberFormat="0" applyProtection="0">
      <alignment horizontal="left" vertical="top" indent="1"/>
    </xf>
    <xf numFmtId="4" fontId="45" fillId="38" borderId="69" applyNumberFormat="0" applyProtection="0">
      <alignment horizontal="right" vertical="center"/>
    </xf>
    <xf numFmtId="0" fontId="45" fillId="121" borderId="69" applyNumberFormat="0" applyProtection="0">
      <alignment horizontal="left" vertical="center" indent="1"/>
    </xf>
    <xf numFmtId="0" fontId="116" fillId="11" borderId="1" applyNumberFormat="0" applyAlignment="0" applyProtection="0"/>
    <xf numFmtId="4" fontId="18" fillId="123" borderId="8" applyNumberFormat="0" applyProtection="0">
      <alignment horizontal="left" vertical="center" indent="1"/>
    </xf>
    <xf numFmtId="4" fontId="121" fillId="4" borderId="9" applyNumberFormat="0" applyProtection="0">
      <alignment vertical="center"/>
    </xf>
    <xf numFmtId="4" fontId="121" fillId="4" borderId="9" applyNumberFormat="0" applyProtection="0">
      <alignment vertical="center"/>
    </xf>
    <xf numFmtId="0" fontId="45" fillId="6" borderId="9" applyNumberFormat="0" applyProtection="0">
      <alignment horizontal="left" vertical="top" indent="1"/>
    </xf>
    <xf numFmtId="4" fontId="45" fillId="110" borderId="69" applyNumberFormat="0" applyProtection="0">
      <alignment horizontal="right" vertical="center"/>
    </xf>
    <xf numFmtId="4" fontId="45" fillId="2" borderId="83" applyNumberFormat="0" applyProtection="0">
      <alignment horizontal="left" vertical="center" indent="1"/>
    </xf>
    <xf numFmtId="0" fontId="45" fillId="10" borderId="69" applyNumberFormat="0" applyProtection="0">
      <alignment horizontal="left" vertical="center" indent="1"/>
    </xf>
    <xf numFmtId="4" fontId="18" fillId="119" borderId="8" applyNumberFormat="0" applyProtection="0">
      <alignment horizontal="left" vertical="center" indent="1"/>
    </xf>
    <xf numFmtId="4" fontId="45" fillId="9" borderId="69" applyNumberFormat="0" applyProtection="0">
      <alignment horizontal="right" vertical="center"/>
    </xf>
    <xf numFmtId="4" fontId="45" fillId="2" borderId="69" applyNumberFormat="0" applyProtection="0">
      <alignment horizontal="right" vertical="center"/>
    </xf>
    <xf numFmtId="0" fontId="45" fillId="41" borderId="69" applyNumberFormat="0" applyProtection="0">
      <alignment horizontal="left" vertical="center" indent="1"/>
    </xf>
    <xf numFmtId="4" fontId="118" fillId="43" borderId="69" applyNumberFormat="0" applyProtection="0">
      <alignment horizontal="right" vertical="center"/>
    </xf>
    <xf numFmtId="4" fontId="45" fillId="2" borderId="69" applyNumberFormat="0" applyProtection="0">
      <alignment horizontal="right" vertical="center"/>
    </xf>
    <xf numFmtId="4" fontId="45" fillId="0" borderId="69" applyNumberFormat="0" applyProtection="0">
      <alignment horizontal="right" vertical="center"/>
    </xf>
    <xf numFmtId="0" fontId="16" fillId="45" borderId="8" applyNumberFormat="0" applyProtection="0">
      <alignment horizontal="left" vertical="center" indent="1"/>
    </xf>
    <xf numFmtId="4" fontId="18" fillId="111" borderId="8" applyNumberFormat="0" applyProtection="0">
      <alignment horizontal="right" vertical="center"/>
    </xf>
    <xf numFmtId="0" fontId="16" fillId="107" borderId="8" applyNumberFormat="0" applyProtection="0">
      <alignment horizontal="left" vertical="center" indent="1"/>
    </xf>
    <xf numFmtId="4" fontId="18" fillId="106" borderId="8" applyNumberFormat="0" applyProtection="0">
      <alignment vertical="center"/>
    </xf>
    <xf numFmtId="4" fontId="45" fillId="39" borderId="69" applyNumberFormat="0" applyProtection="0">
      <alignment horizontal="right" vertical="center"/>
    </xf>
    <xf numFmtId="0" fontId="33" fillId="27" borderId="69" applyNumberFormat="0" applyAlignment="0" applyProtection="0"/>
    <xf numFmtId="0" fontId="45" fillId="41" borderId="69" applyNumberFormat="0" applyProtection="0">
      <alignment horizontal="left" vertical="center" indent="1"/>
    </xf>
    <xf numFmtId="4" fontId="18" fillId="115" borderId="8" applyNumberFormat="0" applyProtection="0">
      <alignment horizontal="right" vertical="center"/>
    </xf>
    <xf numFmtId="4" fontId="45" fillId="9" borderId="69" applyNumberFormat="0" applyProtection="0">
      <alignment horizontal="right" vertical="center"/>
    </xf>
    <xf numFmtId="4" fontId="45" fillId="39" borderId="69" applyNumberFormat="0" applyProtection="0">
      <alignment horizontal="right" vertical="center"/>
    </xf>
    <xf numFmtId="0" fontId="16" fillId="107" borderId="8" applyNumberFormat="0" applyProtection="0">
      <alignment horizontal="left" vertical="center" indent="1"/>
    </xf>
    <xf numFmtId="4" fontId="18" fillId="109" borderId="8" applyNumberFormat="0" applyProtection="0">
      <alignment horizontal="right" vertical="center"/>
    </xf>
    <xf numFmtId="4" fontId="45" fillId="0" borderId="69" applyNumberFormat="0" applyProtection="0">
      <alignment horizontal="right" vertical="center"/>
    </xf>
    <xf numFmtId="4" fontId="45" fillId="110" borderId="69" applyNumberFormat="0" applyProtection="0">
      <alignment horizontal="right" vertical="center"/>
    </xf>
    <xf numFmtId="4" fontId="18" fillId="106" borderId="8" applyNumberFormat="0" applyProtection="0">
      <alignment horizontal="left" vertical="center" indent="1"/>
    </xf>
    <xf numFmtId="4" fontId="45" fillId="51" borderId="69" applyNumberFormat="0" applyProtection="0">
      <alignment horizontal="left" vertical="center" indent="1"/>
    </xf>
    <xf numFmtId="0" fontId="16" fillId="122" borderId="8" applyNumberFormat="0" applyProtection="0">
      <alignment horizontal="left" vertical="center" indent="1"/>
    </xf>
    <xf numFmtId="4" fontId="18" fillId="123" borderId="8" applyNumberFormat="0" applyProtection="0">
      <alignment horizontal="left" vertical="center" indent="1"/>
    </xf>
    <xf numFmtId="4" fontId="45" fillId="7" borderId="69" applyNumberFormat="0" applyProtection="0">
      <alignment horizontal="right" vertical="center"/>
    </xf>
    <xf numFmtId="0" fontId="116" fillId="11" borderId="1" applyNumberFormat="0" applyAlignment="0" applyProtection="0"/>
    <xf numFmtId="4" fontId="118" fillId="43" borderId="69" applyNumberFormat="0" applyProtection="0">
      <alignment horizontal="right" vertical="center"/>
    </xf>
    <xf numFmtId="4" fontId="45" fillId="110" borderId="69" applyNumberFormat="0" applyProtection="0">
      <alignment horizontal="right" vertical="center"/>
    </xf>
    <xf numFmtId="0" fontId="16" fillId="45" borderId="8" applyNumberFormat="0" applyProtection="0">
      <alignment horizontal="left" vertical="center" indent="1"/>
    </xf>
    <xf numFmtId="0" fontId="120" fillId="8" borderId="92" applyBorder="0"/>
    <xf numFmtId="0" fontId="45" fillId="6" borderId="69" applyNumberFormat="0" applyProtection="0">
      <alignment horizontal="left" vertical="center" indent="1"/>
    </xf>
    <xf numFmtId="4" fontId="18" fillId="116" borderId="8" applyNumberFormat="0" applyProtection="0">
      <alignment horizontal="right" vertical="center"/>
    </xf>
    <xf numFmtId="4" fontId="45" fillId="36" borderId="69" applyNumberFormat="0" applyProtection="0">
      <alignment horizontal="right" vertical="center"/>
    </xf>
    <xf numFmtId="4" fontId="45" fillId="9" borderId="69" applyNumberFormat="0" applyProtection="0">
      <alignment horizontal="right" vertical="center"/>
    </xf>
    <xf numFmtId="4" fontId="45" fillId="38" borderId="69" applyNumberFormat="0" applyProtection="0">
      <alignment horizontal="right" vertical="center"/>
    </xf>
    <xf numFmtId="4" fontId="121" fillId="10" borderId="9" applyNumberFormat="0" applyProtection="0">
      <alignment horizontal="left" vertical="center" indent="1"/>
    </xf>
    <xf numFmtId="4" fontId="45" fillId="7" borderId="69" applyNumberFormat="0" applyProtection="0">
      <alignment horizontal="right" vertical="center"/>
    </xf>
    <xf numFmtId="4" fontId="45" fillId="33" borderId="69" applyNumberFormat="0" applyProtection="0">
      <alignment vertical="center"/>
    </xf>
    <xf numFmtId="4" fontId="18" fillId="123" borderId="8" applyNumberFormat="0" applyProtection="0">
      <alignment horizontal="left" vertical="center" indent="1"/>
    </xf>
    <xf numFmtId="4" fontId="45" fillId="106" borderId="69" applyNumberFormat="0" applyProtection="0">
      <alignment horizontal="left" vertical="center" indent="1"/>
    </xf>
    <xf numFmtId="0" fontId="45" fillId="10" borderId="69" applyNumberFormat="0" applyProtection="0">
      <alignment horizontal="left" vertical="center" indent="1"/>
    </xf>
    <xf numFmtId="4" fontId="45" fillId="41" borderId="83" applyNumberFormat="0" applyProtection="0">
      <alignment horizontal="left" vertical="center" indent="1"/>
    </xf>
    <xf numFmtId="4" fontId="18" fillId="113" borderId="8" applyNumberFormat="0" applyProtection="0">
      <alignment horizontal="right" vertical="center"/>
    </xf>
    <xf numFmtId="4" fontId="45" fillId="35" borderId="69" applyNumberFormat="0" applyProtection="0">
      <alignment horizontal="right" vertical="center"/>
    </xf>
    <xf numFmtId="4" fontId="16" fillId="8" borderId="83" applyNumberFormat="0" applyProtection="0">
      <alignment horizontal="left" vertical="center" indent="1"/>
    </xf>
    <xf numFmtId="0" fontId="16" fillId="45" borderId="8" applyNumberFormat="0" applyProtection="0">
      <alignment horizontal="left" vertical="center" indent="1"/>
    </xf>
    <xf numFmtId="4" fontId="45" fillId="39" borderId="69" applyNumberFormat="0" applyProtection="0">
      <alignment horizontal="right" vertical="center"/>
    </xf>
    <xf numFmtId="4" fontId="45" fillId="2" borderId="83" applyNumberFormat="0" applyProtection="0">
      <alignment horizontal="left" vertical="center" indent="1"/>
    </xf>
    <xf numFmtId="4" fontId="42" fillId="119" borderId="8" applyNumberFormat="0" applyProtection="0">
      <alignment horizontal="right" vertical="center"/>
    </xf>
    <xf numFmtId="4" fontId="45" fillId="2" borderId="83" applyNumberFormat="0" applyProtection="0">
      <alignment horizontal="left" vertical="center" indent="1"/>
    </xf>
    <xf numFmtId="4" fontId="45" fillId="106" borderId="69" applyNumberFormat="0" applyProtection="0">
      <alignment horizontal="left" vertical="center" indent="1"/>
    </xf>
    <xf numFmtId="4" fontId="18" fillId="106" borderId="8" applyNumberFormat="0" applyProtection="0">
      <alignment vertical="center"/>
    </xf>
    <xf numFmtId="4" fontId="45" fillId="106" borderId="69" applyNumberFormat="0" applyProtection="0">
      <alignment horizontal="left" vertical="center" indent="1"/>
    </xf>
    <xf numFmtId="0" fontId="45" fillId="26" borderId="69" applyNumberFormat="0" applyFont="0" applyAlignment="0" applyProtection="0"/>
    <xf numFmtId="0" fontId="110" fillId="10" borderId="1" applyNumberFormat="0" applyAlignment="0" applyProtection="0"/>
    <xf numFmtId="4" fontId="45" fillId="7" borderId="69" applyNumberFormat="0" applyProtection="0">
      <alignment horizontal="right" vertical="center"/>
    </xf>
    <xf numFmtId="0" fontId="119" fillId="33" borderId="9" applyNumberFormat="0" applyProtection="0">
      <alignment horizontal="left" vertical="top" indent="1"/>
    </xf>
    <xf numFmtId="4" fontId="45" fillId="33" borderId="69" applyNumberFormat="0" applyProtection="0">
      <alignment vertical="center"/>
    </xf>
    <xf numFmtId="0" fontId="109" fillId="101" borderId="69" applyNumberFormat="0" applyAlignment="0" applyProtection="0"/>
    <xf numFmtId="4" fontId="123" fillId="42" borderId="83" applyNumberFormat="0" applyProtection="0">
      <alignment horizontal="left" vertical="center" indent="1"/>
    </xf>
    <xf numFmtId="0" fontId="45" fillId="124" borderId="94"/>
    <xf numFmtId="0" fontId="121" fillId="2" borderId="9" applyNumberFormat="0" applyProtection="0">
      <alignment horizontal="left" vertical="top" indent="1"/>
    </xf>
    <xf numFmtId="4" fontId="42" fillId="119" borderId="8" applyNumberFormat="0" applyProtection="0">
      <alignment horizontal="right" vertical="center"/>
    </xf>
    <xf numFmtId="4" fontId="45" fillId="0" borderId="69" applyNumberFormat="0" applyProtection="0">
      <alignment horizontal="right" vertical="center"/>
    </xf>
    <xf numFmtId="0" fontId="16" fillId="107" borderId="8" applyNumberFormat="0" applyProtection="0">
      <alignment horizontal="left" vertical="center" indent="1"/>
    </xf>
    <xf numFmtId="4" fontId="45" fillId="0" borderId="69" applyNumberFormat="0" applyProtection="0">
      <alignment horizontal="right" vertical="center"/>
    </xf>
    <xf numFmtId="4" fontId="45" fillId="51" borderId="69" applyNumberFormat="0" applyProtection="0">
      <alignment horizontal="left" vertical="center" indent="1"/>
    </xf>
    <xf numFmtId="4" fontId="40" fillId="119" borderId="8" applyNumberFormat="0" applyProtection="0">
      <alignment horizontal="right" vertical="center"/>
    </xf>
    <xf numFmtId="0" fontId="36" fillId="101" borderId="8" applyNumberFormat="0" applyAlignment="0" applyProtection="0"/>
    <xf numFmtId="0" fontId="45" fillId="26" borderId="69" applyNumberFormat="0" applyFont="0" applyAlignment="0" applyProtection="0"/>
    <xf numFmtId="0" fontId="18" fillId="4" borderId="7"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05" fillId="72" borderId="0" applyNumberFormat="0" applyBorder="0" applyAlignment="0" applyProtection="0"/>
    <xf numFmtId="0" fontId="105" fillId="76" borderId="0" applyNumberFormat="0" applyBorder="0" applyAlignment="0" applyProtection="0"/>
    <xf numFmtId="0" fontId="105" fillId="80" borderId="0" applyNumberFormat="0" applyBorder="0" applyAlignment="0" applyProtection="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4" fontId="37" fillId="33" borderId="107" applyNumberFormat="0" applyProtection="0">
      <alignment vertical="center"/>
    </xf>
    <xf numFmtId="4" fontId="38" fillId="33" borderId="107" applyNumberFormat="0" applyProtection="0">
      <alignment vertical="center"/>
    </xf>
    <xf numFmtId="4" fontId="37" fillId="33" borderId="107" applyNumberFormat="0" applyProtection="0">
      <alignment horizontal="left" vertical="center" indent="1"/>
    </xf>
    <xf numFmtId="175" fontId="37" fillId="33" borderId="107" applyNumberFormat="0" applyProtection="0">
      <alignment horizontal="left" vertical="top" indent="1"/>
    </xf>
    <xf numFmtId="4" fontId="18" fillId="7" borderId="107" applyNumberFormat="0" applyProtection="0">
      <alignment horizontal="right" vertical="center"/>
    </xf>
    <xf numFmtId="4" fontId="18" fillId="3" borderId="107" applyNumberFormat="0" applyProtection="0">
      <alignment horizontal="right" vertical="center"/>
    </xf>
    <xf numFmtId="4" fontId="18" fillId="34" borderId="107" applyNumberFormat="0" applyProtection="0">
      <alignment horizontal="right" vertical="center"/>
    </xf>
    <xf numFmtId="4" fontId="18" fillId="35" borderId="107" applyNumberFormat="0" applyProtection="0">
      <alignment horizontal="right" vertical="center"/>
    </xf>
    <xf numFmtId="4" fontId="18" fillId="36" borderId="107" applyNumberFormat="0" applyProtection="0">
      <alignment horizontal="right" vertical="center"/>
    </xf>
    <xf numFmtId="4" fontId="18" fillId="37" borderId="107" applyNumberFormat="0" applyProtection="0">
      <alignment horizontal="right" vertical="center"/>
    </xf>
    <xf numFmtId="4" fontId="18" fillId="9" borderId="107" applyNumberFormat="0" applyProtection="0">
      <alignment horizontal="right" vertical="center"/>
    </xf>
    <xf numFmtId="4" fontId="18" fillId="38" borderId="107" applyNumberFormat="0" applyProtection="0">
      <alignment horizontal="right" vertical="center"/>
    </xf>
    <xf numFmtId="4" fontId="18" fillId="39" borderId="107" applyNumberFormat="0" applyProtection="0">
      <alignment horizontal="right" vertical="center"/>
    </xf>
    <xf numFmtId="4" fontId="18" fillId="2" borderId="107" applyNumberFormat="0" applyProtection="0">
      <alignment horizontal="right" vertical="center"/>
    </xf>
    <xf numFmtId="175" fontId="16" fillId="8" borderId="107" applyNumberFormat="0" applyProtection="0">
      <alignment horizontal="left" vertical="center" indent="1"/>
    </xf>
    <xf numFmtId="175" fontId="16" fillId="8" borderId="107" applyNumberFormat="0" applyProtection="0">
      <alignment horizontal="left" vertical="top" indent="1"/>
    </xf>
    <xf numFmtId="175" fontId="16" fillId="2" borderId="107" applyNumberFormat="0" applyProtection="0">
      <alignment horizontal="left" vertical="center" indent="1"/>
    </xf>
    <xf numFmtId="175" fontId="16" fillId="2" borderId="107" applyNumberFormat="0" applyProtection="0">
      <alignment horizontal="left" vertical="top" indent="1"/>
    </xf>
    <xf numFmtId="175" fontId="16" fillId="6" borderId="107" applyNumberFormat="0" applyProtection="0">
      <alignment horizontal="left" vertical="center" indent="1"/>
    </xf>
    <xf numFmtId="175" fontId="16" fillId="6" borderId="107" applyNumberFormat="0" applyProtection="0">
      <alignment horizontal="left" vertical="top" indent="1"/>
    </xf>
    <xf numFmtId="175" fontId="16" fillId="41" borderId="107" applyNumberFormat="0" applyProtection="0">
      <alignment horizontal="left" vertical="center" indent="1"/>
    </xf>
    <xf numFmtId="175" fontId="16" fillId="41" borderId="107" applyNumberFormat="0" applyProtection="0">
      <alignment horizontal="left" vertical="top" indent="1"/>
    </xf>
    <xf numFmtId="4" fontId="18" fillId="4" borderId="107" applyNumberFormat="0" applyProtection="0">
      <alignment vertical="center"/>
    </xf>
    <xf numFmtId="4" fontId="40" fillId="4" borderId="107" applyNumberFormat="0" applyProtection="0">
      <alignment vertical="center"/>
    </xf>
    <xf numFmtId="4" fontId="18" fillId="4" borderId="107" applyNumberFormat="0" applyProtection="0">
      <alignment horizontal="left" vertical="center" indent="1"/>
    </xf>
    <xf numFmtId="175" fontId="18" fillId="4" borderId="107" applyNumberFormat="0" applyProtection="0">
      <alignment horizontal="left" vertical="top" indent="1"/>
    </xf>
    <xf numFmtId="4" fontId="18" fillId="41" borderId="107" applyNumberFormat="0" applyProtection="0">
      <alignment horizontal="right" vertical="center"/>
    </xf>
    <xf numFmtId="4" fontId="40" fillId="41" borderId="107" applyNumberFormat="0" applyProtection="0">
      <alignment horizontal="right" vertical="center"/>
    </xf>
    <xf numFmtId="4" fontId="18" fillId="2" borderId="107" applyNumberFormat="0" applyProtection="0">
      <alignment horizontal="left" vertical="center" indent="1"/>
    </xf>
    <xf numFmtId="175" fontId="18" fillId="2" borderId="107" applyNumberFormat="0" applyProtection="0">
      <alignment horizontal="left" vertical="top" indent="1"/>
    </xf>
    <xf numFmtId="4" fontId="42" fillId="41" borderId="107" applyNumberFormat="0" applyProtection="0">
      <alignment horizontal="right" vertical="center"/>
    </xf>
    <xf numFmtId="175" fontId="27" fillId="0" borderId="108" applyNumberFormat="0" applyFill="0" applyAlignment="0" applyProtection="0"/>
    <xf numFmtId="4" fontId="18" fillId="7" borderId="107" applyNumberFormat="0" applyProtection="0">
      <alignment horizontal="right" vertical="center"/>
    </xf>
    <xf numFmtId="4" fontId="18" fillId="3" borderId="107" applyNumberFormat="0" applyProtection="0">
      <alignment horizontal="right" vertical="center"/>
    </xf>
    <xf numFmtId="4" fontId="18" fillId="34" borderId="107" applyNumberFormat="0" applyProtection="0">
      <alignment horizontal="right" vertical="center"/>
    </xf>
    <xf numFmtId="4" fontId="18" fillId="35" borderId="107" applyNumberFormat="0" applyProtection="0">
      <alignment horizontal="right" vertical="center"/>
    </xf>
    <xf numFmtId="4" fontId="18" fillId="36" borderId="107" applyNumberFormat="0" applyProtection="0">
      <alignment horizontal="right" vertical="center"/>
    </xf>
    <xf numFmtId="4" fontId="18" fillId="37" borderId="107" applyNumberFormat="0" applyProtection="0">
      <alignment horizontal="right" vertical="center"/>
    </xf>
    <xf numFmtId="4" fontId="18" fillId="9" borderId="107" applyNumberFormat="0" applyProtection="0">
      <alignment horizontal="right" vertical="center"/>
    </xf>
    <xf numFmtId="4" fontId="18" fillId="38" borderId="107" applyNumberFormat="0" applyProtection="0">
      <alignment horizontal="right" vertical="center"/>
    </xf>
    <xf numFmtId="4" fontId="18" fillId="39" borderId="107" applyNumberFormat="0" applyProtection="0">
      <alignment horizontal="right" vertical="center"/>
    </xf>
    <xf numFmtId="4" fontId="18" fillId="2" borderId="107" applyNumberFormat="0" applyProtection="0">
      <alignment horizontal="right" vertical="center"/>
    </xf>
    <xf numFmtId="4" fontId="18" fillId="4" borderId="107" applyNumberFormat="0" applyProtection="0">
      <alignment vertical="center"/>
    </xf>
    <xf numFmtId="4" fontId="18" fillId="4" borderId="107" applyNumberFormat="0" applyProtection="0">
      <alignment horizontal="left" vertical="center" indent="1"/>
    </xf>
    <xf numFmtId="175" fontId="18" fillId="4" borderId="107" applyNumberFormat="0" applyProtection="0">
      <alignment horizontal="left" vertical="top" indent="1"/>
    </xf>
    <xf numFmtId="4" fontId="18" fillId="41" borderId="107" applyNumberFormat="0" applyProtection="0">
      <alignment horizontal="right" vertical="center"/>
    </xf>
    <xf numFmtId="4" fontId="18" fillId="2" borderId="107" applyNumberFormat="0" applyProtection="0">
      <alignment horizontal="left" vertical="center" indent="1"/>
    </xf>
    <xf numFmtId="175" fontId="18" fillId="2" borderId="107" applyNumberFormat="0" applyProtection="0">
      <alignment horizontal="left" vertical="top" indent="1"/>
    </xf>
    <xf numFmtId="175"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 fillId="0" borderId="0"/>
    <xf numFmtId="175"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25" fillId="28" borderId="104" applyNumberFormat="0" applyAlignment="0" applyProtection="0"/>
    <xf numFmtId="175" fontId="33" fillId="27" borderId="104" applyNumberFormat="0" applyAlignment="0" applyProtection="0"/>
    <xf numFmtId="175" fontId="16" fillId="26" borderId="105" applyNumberFormat="0" applyFont="0" applyAlignment="0" applyProtection="0"/>
    <xf numFmtId="175" fontId="36" fillId="28" borderId="106" applyNumberFormat="0" applyAlignment="0" applyProtection="0"/>
    <xf numFmtId="175" fontId="27" fillId="0" borderId="108" applyNumberFormat="0" applyFill="0" applyAlignment="0" applyProtection="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4" fontId="45" fillId="0" borderId="109" applyNumberFormat="0" applyProtection="0">
      <alignment horizontal="right" vertical="center"/>
    </xf>
    <xf numFmtId="4" fontId="45" fillId="51" borderId="109" applyNumberFormat="0" applyProtection="0">
      <alignment horizontal="left" vertical="center" indent="1"/>
    </xf>
    <xf numFmtId="43" fontId="2" fillId="0" borderId="0" applyFont="0" applyFill="0" applyBorder="0" applyAlignment="0" applyProtection="0"/>
    <xf numFmtId="0" fontId="2" fillId="0" borderId="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3" borderId="0" applyNumberFormat="0" applyBorder="0" applyAlignment="0" applyProtection="0"/>
    <xf numFmtId="0" fontId="2" fillId="65" borderId="0" applyNumberFormat="0" applyBorder="0" applyAlignment="0" applyProtection="0"/>
    <xf numFmtId="0" fontId="37" fillId="33" borderId="107" applyNumberFormat="0" applyProtection="0">
      <alignment horizontal="left" vertical="top" indent="1"/>
    </xf>
    <xf numFmtId="0" fontId="2" fillId="61" borderId="0" applyNumberFormat="0" applyBorder="0" applyAlignment="0" applyProtection="0"/>
    <xf numFmtId="0" fontId="16" fillId="8" borderId="107" applyNumberFormat="0" applyProtection="0">
      <alignment horizontal="left" vertical="center" indent="1"/>
    </xf>
    <xf numFmtId="0" fontId="16" fillId="8" borderId="107" applyNumberFormat="0" applyProtection="0">
      <alignment horizontal="left" vertical="top" indent="1"/>
    </xf>
    <xf numFmtId="0" fontId="16" fillId="2" borderId="107" applyNumberFormat="0" applyProtection="0">
      <alignment horizontal="left" vertical="center" indent="1"/>
    </xf>
    <xf numFmtId="0" fontId="16" fillId="2" borderId="107" applyNumberFormat="0" applyProtection="0">
      <alignment horizontal="left" vertical="top" indent="1"/>
    </xf>
    <xf numFmtId="0" fontId="16" fillId="6" borderId="107" applyNumberFormat="0" applyProtection="0">
      <alignment horizontal="left" vertical="center" indent="1"/>
    </xf>
    <xf numFmtId="0" fontId="16" fillId="6" borderId="107" applyNumberFormat="0" applyProtection="0">
      <alignment horizontal="left" vertical="top" indent="1"/>
    </xf>
    <xf numFmtId="0" fontId="16" fillId="41" borderId="107" applyNumberFormat="0" applyProtection="0">
      <alignment horizontal="left" vertical="center" indent="1"/>
    </xf>
    <xf numFmtId="0" fontId="16" fillId="41" borderId="107" applyNumberFormat="0" applyProtection="0">
      <alignment horizontal="left" vertical="top" indent="1"/>
    </xf>
    <xf numFmtId="0" fontId="2" fillId="61" borderId="0" applyNumberFormat="0" applyBorder="0" applyAlignment="0" applyProtection="0"/>
    <xf numFmtId="0" fontId="2" fillId="62" borderId="0" applyNumberFormat="0" applyBorder="0" applyAlignment="0" applyProtection="0"/>
    <xf numFmtId="0" fontId="18" fillId="4" borderId="107" applyNumberFormat="0" applyProtection="0">
      <alignment horizontal="left" vertical="top" indent="1"/>
    </xf>
    <xf numFmtId="0" fontId="2" fillId="61" borderId="0" applyNumberFormat="0" applyBorder="0" applyAlignment="0" applyProtection="0"/>
    <xf numFmtId="0" fontId="2" fillId="61" borderId="0" applyNumberFormat="0" applyBorder="0" applyAlignment="0" applyProtection="0"/>
    <xf numFmtId="0" fontId="18" fillId="2" borderId="107" applyNumberFormat="0" applyProtection="0">
      <alignment horizontal="left" vertical="top" indent="1"/>
    </xf>
    <xf numFmtId="0" fontId="2" fillId="69"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1" borderId="0" applyNumberFormat="0" applyBorder="0" applyAlignment="0" applyProtection="0"/>
    <xf numFmtId="0" fontId="2" fillId="82" borderId="0" applyNumberFormat="0" applyBorder="0" applyAlignment="0" applyProtection="0"/>
    <xf numFmtId="0" fontId="2" fillId="0" borderId="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109" fillId="101" borderId="109" applyNumberFormat="0" applyAlignment="0" applyProtection="0"/>
    <xf numFmtId="0" fontId="110" fillId="10" borderId="104"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0" fontId="33" fillId="27" borderId="109" applyNumberFormat="0" applyAlignment="0" applyProtection="0"/>
    <xf numFmtId="0" fontId="116" fillId="11" borderId="104"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18" fillId="4" borderId="105" applyNumberFormat="0" applyFont="0" applyAlignment="0" applyProtection="0"/>
    <xf numFmtId="0" fontId="45" fillId="26" borderId="109" applyNumberFormat="0" applyFont="0" applyAlignment="0" applyProtection="0"/>
    <xf numFmtId="0" fontId="2" fillId="59" borderId="81" applyNumberFormat="0" applyFont="0" applyAlignment="0" applyProtection="0"/>
    <xf numFmtId="0" fontId="36" fillId="101" borderId="106" applyNumberFormat="0" applyAlignment="0" applyProtection="0"/>
    <xf numFmtId="0" fontId="36" fillId="10" borderId="106" applyNumberFormat="0" applyAlignment="0" applyProtection="0"/>
    <xf numFmtId="9" fontId="2" fillId="0" borderId="0" applyFont="0" applyFill="0" applyBorder="0" applyAlignment="0" applyProtection="0"/>
    <xf numFmtId="9" fontId="2" fillId="0" borderId="0" applyFont="0" applyFill="0" applyBorder="0" applyAlignment="0" applyProtection="0"/>
    <xf numFmtId="4" fontId="18" fillId="106" borderId="106" applyNumberFormat="0" applyProtection="0">
      <alignment vertical="center"/>
    </xf>
    <xf numFmtId="4" fontId="18" fillId="106" borderId="106" applyNumberFormat="0" applyProtection="0">
      <alignment vertical="center"/>
    </xf>
    <xf numFmtId="4" fontId="45" fillId="33" borderId="109" applyNumberFormat="0" applyProtection="0">
      <alignment vertical="center"/>
    </xf>
    <xf numFmtId="4" fontId="45" fillId="33" borderId="109" applyNumberFormat="0" applyProtection="0">
      <alignment vertical="center"/>
    </xf>
    <xf numFmtId="4" fontId="45" fillId="33" borderId="109" applyNumberFormat="0" applyProtection="0">
      <alignment vertical="center"/>
    </xf>
    <xf numFmtId="4" fontId="40" fillId="106" borderId="106" applyNumberFormat="0" applyProtection="0">
      <alignment vertical="center"/>
    </xf>
    <xf numFmtId="4" fontId="118" fillId="106" borderId="109" applyNumberFormat="0" applyProtection="0">
      <alignment vertical="center"/>
    </xf>
    <xf numFmtId="4" fontId="18" fillId="106" borderId="106" applyNumberFormat="0" applyProtection="0">
      <alignment horizontal="left" vertical="center" indent="1"/>
    </xf>
    <xf numFmtId="4" fontId="45" fillId="106" borderId="109" applyNumberFormat="0" applyProtection="0">
      <alignment horizontal="left" vertical="center" indent="1"/>
    </xf>
    <xf numFmtId="4" fontId="45" fillId="106" borderId="109" applyNumberFormat="0" applyProtection="0">
      <alignment horizontal="left" vertical="center" indent="1"/>
    </xf>
    <xf numFmtId="4" fontId="45" fillId="106" borderId="109" applyNumberFormat="0" applyProtection="0">
      <alignment horizontal="left" vertical="center" indent="1"/>
    </xf>
    <xf numFmtId="4" fontId="18" fillId="106" borderId="106" applyNumberFormat="0" applyProtection="0">
      <alignment horizontal="left" vertical="center" indent="1"/>
    </xf>
    <xf numFmtId="0" fontId="119" fillId="33" borderId="107" applyNumberFormat="0" applyProtection="0">
      <alignment horizontal="left" vertical="top" indent="1"/>
    </xf>
    <xf numFmtId="0" fontId="16" fillId="107" borderId="106" applyNumberFormat="0" applyProtection="0">
      <alignment horizontal="left" vertical="center" indent="1"/>
    </xf>
    <xf numFmtId="4" fontId="45" fillId="51" borderId="109" applyNumberFormat="0" applyProtection="0">
      <alignment horizontal="left" vertical="center" indent="1"/>
    </xf>
    <xf numFmtId="4" fontId="45" fillId="51" borderId="109" applyNumberFormat="0" applyProtection="0">
      <alignment horizontal="left" vertical="center" indent="1"/>
    </xf>
    <xf numFmtId="4" fontId="45" fillId="51" borderId="109" applyNumberFormat="0" applyProtection="0">
      <alignment horizontal="left" vertical="center" indent="1"/>
    </xf>
    <xf numFmtId="4" fontId="18" fillId="108" borderId="106" applyNumberFormat="0" applyProtection="0">
      <alignment horizontal="right" vertical="center"/>
    </xf>
    <xf numFmtId="4" fontId="45" fillId="7" borderId="109" applyNumberFormat="0" applyProtection="0">
      <alignment horizontal="right" vertical="center"/>
    </xf>
    <xf numFmtId="4" fontId="45" fillId="7" borderId="109" applyNumberFormat="0" applyProtection="0">
      <alignment horizontal="right" vertical="center"/>
    </xf>
    <xf numFmtId="4" fontId="45" fillId="7" borderId="109" applyNumberFormat="0" applyProtection="0">
      <alignment horizontal="right" vertical="center"/>
    </xf>
    <xf numFmtId="4" fontId="18" fillId="109" borderId="106" applyNumberFormat="0" applyProtection="0">
      <alignment horizontal="right" vertical="center"/>
    </xf>
    <xf numFmtId="4" fontId="45" fillId="110" borderId="109" applyNumberFormat="0" applyProtection="0">
      <alignment horizontal="right" vertical="center"/>
    </xf>
    <xf numFmtId="4" fontId="45" fillId="110" borderId="109" applyNumberFormat="0" applyProtection="0">
      <alignment horizontal="right" vertical="center"/>
    </xf>
    <xf numFmtId="4" fontId="45" fillId="110" borderId="109" applyNumberFormat="0" applyProtection="0">
      <alignment horizontal="right" vertical="center"/>
    </xf>
    <xf numFmtId="4" fontId="18" fillId="111" borderId="106" applyNumberFormat="0" applyProtection="0">
      <alignment horizontal="right" vertical="center"/>
    </xf>
    <xf numFmtId="4" fontId="45" fillId="34" borderId="110" applyNumberFormat="0" applyProtection="0">
      <alignment horizontal="right" vertical="center"/>
    </xf>
    <xf numFmtId="4" fontId="45" fillId="34" borderId="110" applyNumberFormat="0" applyProtection="0">
      <alignment horizontal="right" vertical="center"/>
    </xf>
    <xf numFmtId="4" fontId="45" fillId="34" borderId="110" applyNumberFormat="0" applyProtection="0">
      <alignment horizontal="right" vertical="center"/>
    </xf>
    <xf numFmtId="4" fontId="18" fillId="112" borderId="106" applyNumberFormat="0" applyProtection="0">
      <alignment horizontal="right" vertical="center"/>
    </xf>
    <xf numFmtId="4" fontId="45" fillId="35" borderId="109" applyNumberFormat="0" applyProtection="0">
      <alignment horizontal="right" vertical="center"/>
    </xf>
    <xf numFmtId="4" fontId="45" fillId="35" borderId="109" applyNumberFormat="0" applyProtection="0">
      <alignment horizontal="right" vertical="center"/>
    </xf>
    <xf numFmtId="4" fontId="45" fillId="35" borderId="109" applyNumberFormat="0" applyProtection="0">
      <alignment horizontal="right" vertical="center"/>
    </xf>
    <xf numFmtId="4" fontId="18" fillId="113" borderId="106" applyNumberFormat="0" applyProtection="0">
      <alignment horizontal="right" vertical="center"/>
    </xf>
    <xf numFmtId="4" fontId="45" fillId="36" borderId="109" applyNumberFormat="0" applyProtection="0">
      <alignment horizontal="right" vertical="center"/>
    </xf>
    <xf numFmtId="4" fontId="45" fillId="36" borderId="109" applyNumberFormat="0" applyProtection="0">
      <alignment horizontal="right" vertical="center"/>
    </xf>
    <xf numFmtId="4" fontId="45" fillId="36" borderId="109" applyNumberFormat="0" applyProtection="0">
      <alignment horizontal="right" vertical="center"/>
    </xf>
    <xf numFmtId="4" fontId="18" fillId="114" borderId="106" applyNumberFormat="0" applyProtection="0">
      <alignment horizontal="right" vertical="center"/>
    </xf>
    <xf numFmtId="4" fontId="45" fillId="37" borderId="109" applyNumberFormat="0" applyProtection="0">
      <alignment horizontal="right" vertical="center"/>
    </xf>
    <xf numFmtId="4" fontId="45" fillId="37" borderId="109" applyNumberFormat="0" applyProtection="0">
      <alignment horizontal="right" vertical="center"/>
    </xf>
    <xf numFmtId="4" fontId="45" fillId="37" borderId="109" applyNumberFormat="0" applyProtection="0">
      <alignment horizontal="right" vertical="center"/>
    </xf>
    <xf numFmtId="4" fontId="18" fillId="115" borderId="106" applyNumberFormat="0" applyProtection="0">
      <alignment horizontal="right" vertical="center"/>
    </xf>
    <xf numFmtId="4" fontId="45" fillId="9" borderId="109" applyNumberFormat="0" applyProtection="0">
      <alignment horizontal="right" vertical="center"/>
    </xf>
    <xf numFmtId="4" fontId="45" fillId="9" borderId="109" applyNumberFormat="0" applyProtection="0">
      <alignment horizontal="right" vertical="center"/>
    </xf>
    <xf numFmtId="4" fontId="45" fillId="9" borderId="109" applyNumberFormat="0" applyProtection="0">
      <alignment horizontal="right" vertical="center"/>
    </xf>
    <xf numFmtId="4" fontId="18" fillId="116" borderId="106" applyNumberFormat="0" applyProtection="0">
      <alignment horizontal="right" vertical="center"/>
    </xf>
    <xf numFmtId="4" fontId="45" fillId="38" borderId="109" applyNumberFormat="0" applyProtection="0">
      <alignment horizontal="right" vertical="center"/>
    </xf>
    <xf numFmtId="4" fontId="45" fillId="38" borderId="109" applyNumberFormat="0" applyProtection="0">
      <alignment horizontal="right" vertical="center"/>
    </xf>
    <xf numFmtId="4" fontId="45" fillId="38" borderId="109" applyNumberFormat="0" applyProtection="0">
      <alignment horizontal="right" vertical="center"/>
    </xf>
    <xf numFmtId="4" fontId="18" fillId="117" borderId="106" applyNumberFormat="0" applyProtection="0">
      <alignment horizontal="right" vertical="center"/>
    </xf>
    <xf numFmtId="4" fontId="45" fillId="39" borderId="109" applyNumberFormat="0" applyProtection="0">
      <alignment horizontal="right" vertical="center"/>
    </xf>
    <xf numFmtId="4" fontId="45" fillId="39" borderId="109" applyNumberFormat="0" applyProtection="0">
      <alignment horizontal="right" vertical="center"/>
    </xf>
    <xf numFmtId="4" fontId="45" fillId="39" borderId="109" applyNumberFormat="0" applyProtection="0">
      <alignment horizontal="right" vertical="center"/>
    </xf>
    <xf numFmtId="4" fontId="37" fillId="118" borderId="106" applyNumberFormat="0" applyProtection="0">
      <alignment horizontal="left" vertical="center" indent="1"/>
    </xf>
    <xf numFmtId="4" fontId="45" fillId="40" borderId="110" applyNumberFormat="0" applyProtection="0">
      <alignment horizontal="left" vertical="center" indent="1"/>
    </xf>
    <xf numFmtId="4" fontId="45" fillId="40" borderId="110" applyNumberFormat="0" applyProtection="0">
      <alignment horizontal="left" vertical="center" indent="1"/>
    </xf>
    <xf numFmtId="4" fontId="45" fillId="40" borderId="110" applyNumberFormat="0" applyProtection="0">
      <alignment horizontal="left" vertical="center" indent="1"/>
    </xf>
    <xf numFmtId="4" fontId="18" fillId="119" borderId="111" applyNumberFormat="0" applyProtection="0">
      <alignment horizontal="left" vertical="center" indent="1"/>
    </xf>
    <xf numFmtId="4" fontId="16" fillId="8" borderId="110" applyNumberFormat="0" applyProtection="0">
      <alignment horizontal="left" vertical="center" indent="1"/>
    </xf>
    <xf numFmtId="4" fontId="16" fillId="8" borderId="110" applyNumberFormat="0" applyProtection="0">
      <alignment horizontal="left" vertical="center" indent="1"/>
    </xf>
    <xf numFmtId="0" fontId="16" fillId="107" borderId="106" applyNumberFormat="0" applyProtection="0">
      <alignment horizontal="left" vertical="center" indent="1"/>
    </xf>
    <xf numFmtId="4" fontId="45" fillId="2" borderId="109" applyNumberFormat="0" applyProtection="0">
      <alignment horizontal="right" vertical="center"/>
    </xf>
    <xf numFmtId="4" fontId="45" fillId="2" borderId="109" applyNumberFormat="0" applyProtection="0">
      <alignment horizontal="right" vertical="center"/>
    </xf>
    <xf numFmtId="4" fontId="45" fillId="2" borderId="109" applyNumberFormat="0" applyProtection="0">
      <alignment horizontal="right" vertical="center"/>
    </xf>
    <xf numFmtId="4" fontId="18" fillId="119" borderId="106" applyNumberFormat="0" applyProtection="0">
      <alignment horizontal="left" vertical="center" indent="1"/>
    </xf>
    <xf numFmtId="4" fontId="45" fillId="41" borderId="110" applyNumberFormat="0" applyProtection="0">
      <alignment horizontal="left" vertical="center" indent="1"/>
    </xf>
    <xf numFmtId="4" fontId="45" fillId="41" borderId="110" applyNumberFormat="0" applyProtection="0">
      <alignment horizontal="left" vertical="center" indent="1"/>
    </xf>
    <xf numFmtId="4" fontId="45" fillId="41" borderId="110" applyNumberFormat="0" applyProtection="0">
      <alignment horizontal="left" vertical="center" indent="1"/>
    </xf>
    <xf numFmtId="4" fontId="18" fillId="46" borderId="106" applyNumberFormat="0" applyProtection="0">
      <alignment horizontal="left" vertical="center" indent="1"/>
    </xf>
    <xf numFmtId="4" fontId="45" fillId="2" borderId="110" applyNumberFormat="0" applyProtection="0">
      <alignment horizontal="left" vertical="center" indent="1"/>
    </xf>
    <xf numFmtId="4" fontId="45" fillId="2" borderId="110" applyNumberFormat="0" applyProtection="0">
      <alignment horizontal="left" vertical="center" indent="1"/>
    </xf>
    <xf numFmtId="4" fontId="45" fillId="2" borderId="110" applyNumberFormat="0" applyProtection="0">
      <alignment horizontal="left" vertical="center" indent="1"/>
    </xf>
    <xf numFmtId="0" fontId="16" fillId="46" borderId="106" applyNumberFormat="0" applyProtection="0">
      <alignment horizontal="left" vertical="center" indent="1"/>
    </xf>
    <xf numFmtId="0" fontId="45" fillId="10" borderId="109" applyNumberFormat="0" applyProtection="0">
      <alignment horizontal="left" vertical="center" indent="1"/>
    </xf>
    <xf numFmtId="0" fontId="45" fillId="10" borderId="109" applyNumberFormat="0" applyProtection="0">
      <alignment horizontal="left" vertical="center" indent="1"/>
    </xf>
    <xf numFmtId="0" fontId="45" fillId="10" borderId="109" applyNumberFormat="0" applyProtection="0">
      <alignment horizontal="left" vertical="center" indent="1"/>
    </xf>
    <xf numFmtId="0" fontId="16" fillId="46" borderId="106" applyNumberFormat="0" applyProtection="0">
      <alignment horizontal="left" vertical="center" indent="1"/>
    </xf>
    <xf numFmtId="0" fontId="45" fillId="8" borderId="107" applyNumberFormat="0" applyProtection="0">
      <alignment horizontal="left" vertical="top" indent="1"/>
    </xf>
    <xf numFmtId="0" fontId="16" fillId="45" borderId="106" applyNumberFormat="0" applyProtection="0">
      <alignment horizontal="left" vertical="center" indent="1"/>
    </xf>
    <xf numFmtId="0" fontId="45" fillId="121" borderId="109" applyNumberFormat="0" applyProtection="0">
      <alignment horizontal="left" vertical="center" indent="1"/>
    </xf>
    <xf numFmtId="0" fontId="45" fillId="121" borderId="109" applyNumberFormat="0" applyProtection="0">
      <alignment horizontal="left" vertical="center" indent="1"/>
    </xf>
    <xf numFmtId="0" fontId="45" fillId="121" borderId="109" applyNumberFormat="0" applyProtection="0">
      <alignment horizontal="left" vertical="center" indent="1"/>
    </xf>
    <xf numFmtId="0" fontId="16" fillId="45" borderId="106" applyNumberFormat="0" applyProtection="0">
      <alignment horizontal="left" vertical="center" indent="1"/>
    </xf>
    <xf numFmtId="0" fontId="45" fillId="2" borderId="107" applyNumberFormat="0" applyProtection="0">
      <alignment horizontal="left" vertical="top" indent="1"/>
    </xf>
    <xf numFmtId="0" fontId="16" fillId="122" borderId="106" applyNumberFormat="0" applyProtection="0">
      <alignment horizontal="left" vertical="center" indent="1"/>
    </xf>
    <xf numFmtId="0" fontId="45" fillId="6" borderId="109" applyNumberFormat="0" applyProtection="0">
      <alignment horizontal="left" vertical="center" indent="1"/>
    </xf>
    <xf numFmtId="0" fontId="45" fillId="6" borderId="109" applyNumberFormat="0" applyProtection="0">
      <alignment horizontal="left" vertical="center" indent="1"/>
    </xf>
    <xf numFmtId="0" fontId="45" fillId="6" borderId="109" applyNumberFormat="0" applyProtection="0">
      <alignment horizontal="left" vertical="center" indent="1"/>
    </xf>
    <xf numFmtId="0" fontId="16" fillId="122" borderId="106" applyNumberFormat="0" applyProtection="0">
      <alignment horizontal="left" vertical="center" indent="1"/>
    </xf>
    <xf numFmtId="0" fontId="45" fillId="6" borderId="107" applyNumberFormat="0" applyProtection="0">
      <alignment horizontal="left" vertical="top" indent="1"/>
    </xf>
    <xf numFmtId="0" fontId="16" fillId="107" borderId="106" applyNumberFormat="0" applyProtection="0">
      <alignment horizontal="left" vertical="center" indent="1"/>
    </xf>
    <xf numFmtId="0" fontId="45" fillId="41" borderId="109" applyNumberFormat="0" applyProtection="0">
      <alignment horizontal="left" vertical="center" indent="1"/>
    </xf>
    <xf numFmtId="0" fontId="45" fillId="41" borderId="109" applyNumberFormat="0" applyProtection="0">
      <alignment horizontal="left" vertical="center" indent="1"/>
    </xf>
    <xf numFmtId="0" fontId="45" fillId="41" borderId="109" applyNumberFormat="0" applyProtection="0">
      <alignment horizontal="left" vertical="center" indent="1"/>
    </xf>
    <xf numFmtId="0" fontId="16" fillId="107" borderId="106" applyNumberFormat="0" applyProtection="0">
      <alignment horizontal="left" vertical="center" indent="1"/>
    </xf>
    <xf numFmtId="0" fontId="45" fillId="41" borderId="107" applyNumberFormat="0" applyProtection="0">
      <alignment horizontal="left" vertical="top"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0" fillId="8" borderId="112" applyBorder="0"/>
    <xf numFmtId="4" fontId="18" fillId="123" borderId="106" applyNumberFormat="0" applyProtection="0">
      <alignment vertical="center"/>
    </xf>
    <xf numFmtId="4" fontId="121" fillId="4" borderId="107" applyNumberFormat="0" applyProtection="0">
      <alignment vertical="center"/>
    </xf>
    <xf numFmtId="4" fontId="40" fillId="123" borderId="106" applyNumberFormat="0" applyProtection="0">
      <alignment vertical="center"/>
    </xf>
    <xf numFmtId="4" fontId="18" fillId="123" borderId="106" applyNumberFormat="0" applyProtection="0">
      <alignment horizontal="left" vertical="center" indent="1"/>
    </xf>
    <xf numFmtId="4" fontId="121" fillId="10" borderId="107" applyNumberFormat="0" applyProtection="0">
      <alignment horizontal="left" vertical="center" indent="1"/>
    </xf>
    <xf numFmtId="4" fontId="18" fillId="123" borderId="106" applyNumberFormat="0" applyProtection="0">
      <alignment horizontal="left" vertical="center" indent="1"/>
    </xf>
    <xf numFmtId="0" fontId="121" fillId="4" borderId="107" applyNumberFormat="0" applyProtection="0">
      <alignment horizontal="left" vertical="top" indent="1"/>
    </xf>
    <xf numFmtId="4" fontId="18" fillId="119" borderId="106" applyNumberFormat="0" applyProtection="0">
      <alignment horizontal="right" vertical="center"/>
    </xf>
    <xf numFmtId="4" fontId="18" fillId="119" borderId="106" applyNumberFormat="0" applyProtection="0">
      <alignment horizontal="right" vertical="center"/>
    </xf>
    <xf numFmtId="4" fontId="45" fillId="0" borderId="109" applyNumberFormat="0" applyProtection="0">
      <alignment horizontal="right" vertical="center"/>
    </xf>
    <xf numFmtId="4" fontId="45" fillId="0" borderId="109" applyNumberFormat="0" applyProtection="0">
      <alignment horizontal="right" vertical="center"/>
    </xf>
    <xf numFmtId="4" fontId="45" fillId="0" borderId="109" applyNumberFormat="0" applyProtection="0">
      <alignment horizontal="right" vertical="center"/>
    </xf>
    <xf numFmtId="4" fontId="40" fillId="119" borderId="106" applyNumberFormat="0" applyProtection="0">
      <alignment horizontal="right" vertical="center"/>
    </xf>
    <xf numFmtId="4" fontId="118" fillId="43" borderId="109" applyNumberFormat="0" applyProtection="0">
      <alignment horizontal="right" vertical="center"/>
    </xf>
    <xf numFmtId="0" fontId="16" fillId="107" borderId="106" applyNumberFormat="0" applyProtection="0">
      <alignment horizontal="left" vertical="center" indent="1"/>
    </xf>
    <xf numFmtId="4" fontId="45" fillId="51" borderId="109" applyNumberFormat="0" applyProtection="0">
      <alignment horizontal="left" vertical="center" indent="1"/>
    </xf>
    <xf numFmtId="4" fontId="45" fillId="51" borderId="109" applyNumberFormat="0" applyProtection="0">
      <alignment horizontal="left" vertical="center" indent="1"/>
    </xf>
    <xf numFmtId="4" fontId="45" fillId="51" borderId="109" applyNumberFormat="0" applyProtection="0">
      <alignment horizontal="left" vertical="center" indent="1"/>
    </xf>
    <xf numFmtId="0" fontId="16" fillId="107" borderId="106" applyNumberFormat="0" applyProtection="0">
      <alignment horizontal="left" vertical="center" indent="1"/>
    </xf>
    <xf numFmtId="0" fontId="121" fillId="2" borderId="107" applyNumberFormat="0" applyProtection="0">
      <alignment horizontal="left" vertical="top" indent="1"/>
    </xf>
    <xf numFmtId="4" fontId="123" fillId="42" borderId="110" applyNumberFormat="0" applyProtection="0">
      <alignment horizontal="left" vertical="center" indent="1"/>
    </xf>
    <xf numFmtId="4" fontId="42" fillId="119" borderId="106" applyNumberFormat="0" applyProtection="0">
      <alignment horizontal="right" vertical="center"/>
    </xf>
    <xf numFmtId="4" fontId="124" fillId="5" borderId="109" applyNumberFormat="0" applyProtection="0">
      <alignment horizontal="right" vertical="center"/>
    </xf>
    <xf numFmtId="0" fontId="27" fillId="0" borderId="108" applyNumberFormat="0" applyFill="0" applyAlignment="0" applyProtection="0"/>
    <xf numFmtId="0" fontId="27" fillId="0" borderId="113" applyNumberFormat="0" applyFill="0" applyAlignment="0" applyProtection="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4" borderId="105" applyNumberFormat="0" applyFont="0" applyAlignment="0" applyProtection="0"/>
    <xf numFmtId="0" fontId="2" fillId="0" borderId="0"/>
    <xf numFmtId="44" fontId="2" fillId="0" borderId="0" applyFont="0" applyFill="0" applyBorder="0" applyAlignment="0" applyProtection="0"/>
    <xf numFmtId="0" fontId="2" fillId="0" borderId="0"/>
    <xf numFmtId="0" fontId="2" fillId="59" borderId="81" applyNumberFormat="0" applyFont="0" applyAlignment="0" applyProtection="0"/>
    <xf numFmtId="0" fontId="2" fillId="0" borderId="0"/>
    <xf numFmtId="0" fontId="2" fillId="0" borderId="0"/>
    <xf numFmtId="0" fontId="2" fillId="0" borderId="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59" borderId="8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59" borderId="81" applyNumberFormat="0" applyFont="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77"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78"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81" applyNumberFormat="0" applyFont="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59" borderId="81" applyNumberFormat="0" applyFont="0" applyAlignment="0" applyProtection="0"/>
    <xf numFmtId="43" fontId="2" fillId="0" borderId="0" applyFont="0" applyFill="0" applyBorder="0" applyAlignment="0" applyProtection="0"/>
    <xf numFmtId="4" fontId="45" fillId="0" borderId="109" applyNumberFormat="0" applyProtection="0">
      <alignment horizontal="right" vertical="center"/>
    </xf>
    <xf numFmtId="4" fontId="18" fillId="123" borderId="106" applyNumberFormat="0" applyProtection="0">
      <alignment vertical="center"/>
    </xf>
    <xf numFmtId="4" fontId="45" fillId="34" borderId="110" applyNumberFormat="0" applyProtection="0">
      <alignment horizontal="right" vertical="center"/>
    </xf>
    <xf numFmtId="4" fontId="45" fillId="40" borderId="110" applyNumberFormat="0" applyProtection="0">
      <alignment horizontal="left" vertical="center" indent="1"/>
    </xf>
    <xf numFmtId="4" fontId="45" fillId="37" borderId="109" applyNumberFormat="0" applyProtection="0">
      <alignment horizontal="right" vertical="center"/>
    </xf>
    <xf numFmtId="4" fontId="40" fillId="106" borderId="106" applyNumberFormat="0" applyProtection="0">
      <alignment vertical="center"/>
    </xf>
    <xf numFmtId="0" fontId="16" fillId="107" borderId="106" applyNumberFormat="0" applyProtection="0">
      <alignment horizontal="left" vertical="center" indent="1"/>
    </xf>
    <xf numFmtId="4" fontId="45" fillId="37" borderId="109" applyNumberFormat="0" applyProtection="0">
      <alignment horizontal="right" vertical="center"/>
    </xf>
    <xf numFmtId="4" fontId="45" fillId="0" borderId="109" applyNumberFormat="0" applyProtection="0">
      <alignment horizontal="right" vertical="center"/>
    </xf>
    <xf numFmtId="0" fontId="45" fillId="41" borderId="109" applyNumberFormat="0" applyProtection="0">
      <alignment horizontal="left" vertical="center" indent="1"/>
    </xf>
    <xf numFmtId="0" fontId="16" fillId="46" borderId="106" applyNumberFormat="0" applyProtection="0">
      <alignment horizontal="left" vertical="center" indent="1"/>
    </xf>
    <xf numFmtId="4" fontId="18" fillId="106" borderId="106" applyNumberFormat="0" applyProtection="0">
      <alignment horizontal="left" vertical="center" indent="1"/>
    </xf>
    <xf numFmtId="4" fontId="18" fillId="119" borderId="111" applyNumberFormat="0" applyProtection="0">
      <alignment horizontal="left" vertical="center" indent="1"/>
    </xf>
    <xf numFmtId="0" fontId="45" fillId="10" borderId="109" applyNumberFormat="0" applyProtection="0">
      <alignment horizontal="left" vertical="center" indent="1"/>
    </xf>
    <xf numFmtId="4" fontId="45" fillId="35" borderId="109" applyNumberFormat="0" applyProtection="0">
      <alignment horizontal="right" vertical="center"/>
    </xf>
    <xf numFmtId="0" fontId="119" fillId="33" borderId="107" applyNumberFormat="0" applyProtection="0">
      <alignment horizontal="left" vertical="top" indent="1"/>
    </xf>
    <xf numFmtId="0" fontId="120" fillId="8" borderId="112" applyBorder="0"/>
    <xf numFmtId="0" fontId="45" fillId="121" borderId="109" applyNumberFormat="0" applyProtection="0">
      <alignment horizontal="left" vertical="center" indent="1"/>
    </xf>
    <xf numFmtId="0" fontId="45" fillId="41" borderId="107" applyNumberFormat="0" applyProtection="0">
      <alignment horizontal="left" vertical="top" indent="1"/>
    </xf>
    <xf numFmtId="4" fontId="45" fillId="39" borderId="109" applyNumberFormat="0" applyProtection="0">
      <alignment horizontal="right" vertical="center"/>
    </xf>
    <xf numFmtId="4" fontId="45" fillId="35" borderId="109" applyNumberFormat="0" applyProtection="0">
      <alignment horizontal="right" vertical="center"/>
    </xf>
    <xf numFmtId="0" fontId="45" fillId="10" borderId="109" applyNumberFormat="0" applyProtection="0">
      <alignment horizontal="left" vertical="center" indent="1"/>
    </xf>
    <xf numFmtId="4" fontId="18" fillId="113" borderId="106" applyNumberFormat="0" applyProtection="0">
      <alignment horizontal="right" vertical="center"/>
    </xf>
    <xf numFmtId="0" fontId="45" fillId="10" borderId="109" applyNumberFormat="0" applyProtection="0">
      <alignment horizontal="left" vertical="center" indent="1"/>
    </xf>
    <xf numFmtId="4" fontId="124" fillId="5" borderId="109" applyNumberFormat="0" applyProtection="0">
      <alignment horizontal="right" vertical="center"/>
    </xf>
    <xf numFmtId="4" fontId="18" fillId="117" borderId="106" applyNumberFormat="0" applyProtection="0">
      <alignment horizontal="right" vertical="center"/>
    </xf>
    <xf numFmtId="4" fontId="45" fillId="33" borderId="109" applyNumberFormat="0" applyProtection="0">
      <alignment vertical="center"/>
    </xf>
    <xf numFmtId="4" fontId="45" fillId="37" borderId="109" applyNumberFormat="0" applyProtection="0">
      <alignment horizontal="right" vertical="center"/>
    </xf>
    <xf numFmtId="0" fontId="45" fillId="121" borderId="109" applyNumberFormat="0" applyProtection="0">
      <alignment horizontal="left" vertical="center" indent="1"/>
    </xf>
    <xf numFmtId="4" fontId="18" fillId="46" borderId="106" applyNumberFormat="0" applyProtection="0">
      <alignment horizontal="left" vertical="center" indent="1"/>
    </xf>
    <xf numFmtId="4" fontId="45" fillId="37" borderId="109" applyNumberFormat="0" applyProtection="0">
      <alignment horizontal="right" vertical="center"/>
    </xf>
    <xf numFmtId="4" fontId="37" fillId="118" borderId="106" applyNumberFormat="0" applyProtection="0">
      <alignment horizontal="left" vertical="center" indent="1"/>
    </xf>
    <xf numFmtId="4" fontId="45" fillId="9" borderId="109" applyNumberFormat="0" applyProtection="0">
      <alignment horizontal="right" vertical="center"/>
    </xf>
    <xf numFmtId="0" fontId="45" fillId="6" borderId="109" applyNumberFormat="0" applyProtection="0">
      <alignment horizontal="left" vertical="center" indent="1"/>
    </xf>
    <xf numFmtId="0" fontId="121" fillId="4" borderId="107" applyNumberFormat="0" applyProtection="0">
      <alignment horizontal="left" vertical="top" indent="1"/>
    </xf>
    <xf numFmtId="4" fontId="45" fillId="41" borderId="110" applyNumberFormat="0" applyProtection="0">
      <alignment horizontal="left" vertical="center" indent="1"/>
    </xf>
    <xf numFmtId="0" fontId="45" fillId="124" borderId="114"/>
    <xf numFmtId="4" fontId="45" fillId="51" borderId="109" applyNumberFormat="0" applyProtection="0">
      <alignment horizontal="left" vertical="center" indent="1"/>
    </xf>
    <xf numFmtId="0" fontId="36" fillId="10" borderId="106" applyNumberFormat="0" applyAlignment="0" applyProtection="0"/>
    <xf numFmtId="0" fontId="18" fillId="4" borderId="105" applyNumberFormat="0" applyFont="0" applyAlignment="0" applyProtection="0"/>
    <xf numFmtId="4" fontId="18" fillId="112" borderId="106" applyNumberFormat="0" applyProtection="0">
      <alignment horizontal="right" vertical="center"/>
    </xf>
    <xf numFmtId="0" fontId="16" fillId="45" borderId="106" applyNumberFormat="0" applyProtection="0">
      <alignment horizontal="left" vertical="center" indent="1"/>
    </xf>
    <xf numFmtId="0" fontId="16" fillId="46" borderId="106" applyNumberFormat="0" applyProtection="0">
      <alignment horizontal="left" vertical="center" indent="1"/>
    </xf>
    <xf numFmtId="4" fontId="45" fillId="38" borderId="109" applyNumberFormat="0" applyProtection="0">
      <alignment horizontal="right" vertical="center"/>
    </xf>
    <xf numFmtId="4" fontId="18" fillId="108" borderId="106" applyNumberFormat="0" applyProtection="0">
      <alignment horizontal="right" vertical="center"/>
    </xf>
    <xf numFmtId="4" fontId="45" fillId="51" borderId="109" applyNumberFormat="0" applyProtection="0">
      <alignment horizontal="left" vertical="center" indent="1"/>
    </xf>
    <xf numFmtId="0" fontId="45" fillId="41" borderId="109" applyNumberFormat="0" applyProtection="0">
      <alignment horizontal="left" vertical="center" indent="1"/>
    </xf>
    <xf numFmtId="4" fontId="45" fillId="2" borderId="109" applyNumberFormat="0" applyProtection="0">
      <alignment horizontal="right" vertical="center"/>
    </xf>
    <xf numFmtId="0" fontId="16" fillId="107" borderId="106" applyNumberFormat="0" applyProtection="0">
      <alignment horizontal="left" vertical="center" indent="1"/>
    </xf>
    <xf numFmtId="4" fontId="18" fillId="109" borderId="106" applyNumberFormat="0" applyProtection="0">
      <alignment horizontal="right" vertical="center"/>
    </xf>
    <xf numFmtId="0" fontId="45" fillId="6" borderId="109" applyNumberFormat="0" applyProtection="0">
      <alignment horizontal="left" vertical="center" indent="1"/>
    </xf>
    <xf numFmtId="4" fontId="45" fillId="51" borderId="109" applyNumberFormat="0" applyProtection="0">
      <alignment horizontal="left" vertical="center" indent="1"/>
    </xf>
    <xf numFmtId="4" fontId="45" fillId="41" borderId="110" applyNumberFormat="0" applyProtection="0">
      <alignment horizontal="left" vertical="center" indent="1"/>
    </xf>
    <xf numFmtId="0" fontId="16" fillId="107" borderId="106" applyNumberFormat="0" applyProtection="0">
      <alignment horizontal="left" vertical="center" indent="1"/>
    </xf>
    <xf numFmtId="4" fontId="18" fillId="119" borderId="106" applyNumberFormat="0" applyProtection="0">
      <alignment horizontal="right" vertical="center"/>
    </xf>
    <xf numFmtId="4" fontId="40" fillId="106" borderId="106" applyNumberFormat="0" applyProtection="0">
      <alignment vertical="center"/>
    </xf>
    <xf numFmtId="4" fontId="18" fillId="119" borderId="106" applyNumberFormat="0" applyProtection="0">
      <alignment horizontal="right" vertical="center"/>
    </xf>
    <xf numFmtId="4" fontId="45" fillId="40" borderId="110" applyNumberFormat="0" applyProtection="0">
      <alignment horizontal="left" vertical="center" indent="1"/>
    </xf>
    <xf numFmtId="0" fontId="45" fillId="2" borderId="107" applyNumberFormat="0" applyProtection="0">
      <alignment horizontal="left" vertical="top" indent="1"/>
    </xf>
    <xf numFmtId="4" fontId="45" fillId="33" borderId="109" applyNumberFormat="0" applyProtection="0">
      <alignment vertical="center"/>
    </xf>
    <xf numFmtId="4" fontId="118" fillId="123" borderId="114" applyNumberFormat="0" applyProtection="0">
      <alignment vertical="center"/>
    </xf>
    <xf numFmtId="0" fontId="121" fillId="2" borderId="107" applyNumberFormat="0" applyProtection="0">
      <alignment horizontal="left" vertical="top" indent="1"/>
    </xf>
    <xf numFmtId="4" fontId="45" fillId="37" borderId="109" applyNumberFormat="0" applyProtection="0">
      <alignment horizontal="right" vertical="center"/>
    </xf>
    <xf numFmtId="0" fontId="109" fillId="101" borderId="109" applyNumberFormat="0" applyAlignment="0" applyProtection="0"/>
    <xf numFmtId="4" fontId="45" fillId="51" borderId="109" applyNumberFormat="0" applyProtection="0">
      <alignment horizontal="left" vertical="center" indent="1"/>
    </xf>
    <xf numFmtId="4" fontId="40" fillId="123" borderId="106" applyNumberFormat="0" applyProtection="0">
      <alignment vertical="center"/>
    </xf>
    <xf numFmtId="4" fontId="45" fillId="33" borderId="109" applyNumberFormat="0" applyProtection="0">
      <alignment vertical="center"/>
    </xf>
    <xf numFmtId="0" fontId="16" fillId="107" borderId="106" applyNumberFormat="0" applyProtection="0">
      <alignment horizontal="left" vertical="center" indent="1"/>
    </xf>
    <xf numFmtId="4" fontId="45" fillId="40" borderId="110" applyNumberFormat="0" applyProtection="0">
      <alignment horizontal="left" vertical="center" indent="1"/>
    </xf>
    <xf numFmtId="4" fontId="18" fillId="119" borderId="106" applyNumberFormat="0" applyProtection="0">
      <alignment horizontal="right" vertical="center"/>
    </xf>
    <xf numFmtId="0" fontId="16" fillId="107" borderId="106" applyNumberFormat="0" applyProtection="0">
      <alignment horizontal="left" vertical="center" indent="1"/>
    </xf>
    <xf numFmtId="4" fontId="45" fillId="39" borderId="109" applyNumberFormat="0" applyProtection="0">
      <alignment horizontal="right" vertical="center"/>
    </xf>
    <xf numFmtId="0" fontId="33" fillId="27" borderId="109" applyNumberFormat="0" applyAlignment="0" applyProtection="0"/>
    <xf numFmtId="4" fontId="18" fillId="112" borderId="106" applyNumberFormat="0" applyProtection="0">
      <alignment horizontal="right" vertical="center"/>
    </xf>
    <xf numFmtId="4" fontId="45" fillId="38" borderId="109" applyNumberFormat="0" applyProtection="0">
      <alignment horizontal="right" vertical="center"/>
    </xf>
    <xf numFmtId="4" fontId="45" fillId="106" borderId="109" applyNumberFormat="0" applyProtection="0">
      <alignment horizontal="left" vertical="center" indent="1"/>
    </xf>
    <xf numFmtId="4" fontId="45" fillId="36" borderId="109" applyNumberFormat="0" applyProtection="0">
      <alignment horizontal="right" vertical="center"/>
    </xf>
    <xf numFmtId="4" fontId="45" fillId="41" borderId="110" applyNumberFormat="0" applyProtection="0">
      <alignment horizontal="left" vertical="center" indent="1"/>
    </xf>
    <xf numFmtId="4" fontId="45" fillId="110" borderId="109" applyNumberFormat="0" applyProtection="0">
      <alignment horizontal="right" vertical="center"/>
    </xf>
    <xf numFmtId="4" fontId="45" fillId="2" borderId="110" applyNumberFormat="0" applyProtection="0">
      <alignment horizontal="left" vertical="center" indent="1"/>
    </xf>
    <xf numFmtId="4" fontId="45" fillId="39" borderId="109" applyNumberFormat="0" applyProtection="0">
      <alignment horizontal="right" vertical="center"/>
    </xf>
    <xf numFmtId="4" fontId="45" fillId="41" borderId="110" applyNumberFormat="0" applyProtection="0">
      <alignment horizontal="left" vertical="center" indent="1"/>
    </xf>
    <xf numFmtId="4" fontId="18" fillId="106" borderId="106" applyNumberFormat="0" applyProtection="0">
      <alignment horizontal="left" vertical="center" indent="1"/>
    </xf>
    <xf numFmtId="4" fontId="18" fillId="115" borderId="106" applyNumberFormat="0" applyProtection="0">
      <alignment horizontal="right" vertical="center"/>
    </xf>
    <xf numFmtId="4" fontId="18" fillId="106" borderId="106" applyNumberFormat="0" applyProtection="0">
      <alignment horizontal="left" vertical="center" indent="1"/>
    </xf>
    <xf numFmtId="4" fontId="45" fillId="38" borderId="109" applyNumberFormat="0" applyProtection="0">
      <alignment horizontal="right" vertical="center"/>
    </xf>
    <xf numFmtId="4" fontId="45" fillId="2" borderId="110" applyNumberFormat="0" applyProtection="0">
      <alignment horizontal="left" vertical="center" indent="1"/>
    </xf>
    <xf numFmtId="4" fontId="45" fillId="35" borderId="109" applyNumberFormat="0" applyProtection="0">
      <alignment horizontal="right" vertical="center"/>
    </xf>
    <xf numFmtId="0" fontId="45" fillId="2" borderId="107" applyNumberFormat="0" applyProtection="0">
      <alignment horizontal="left" vertical="top" indent="1"/>
    </xf>
    <xf numFmtId="4" fontId="45" fillId="7" borderId="109" applyNumberFormat="0" applyProtection="0">
      <alignment horizontal="right" vertical="center"/>
    </xf>
    <xf numFmtId="0" fontId="36" fillId="10" borderId="106" applyNumberFormat="0" applyAlignment="0" applyProtection="0"/>
    <xf numFmtId="4" fontId="45" fillId="51" borderId="109" applyNumberFormat="0" applyProtection="0">
      <alignment horizontal="left" vertical="center" indent="1"/>
    </xf>
    <xf numFmtId="4" fontId="45" fillId="40" borderId="110" applyNumberFormat="0" applyProtection="0">
      <alignment horizontal="left" vertical="center" indent="1"/>
    </xf>
    <xf numFmtId="0" fontId="45" fillId="41" borderId="107" applyNumberFormat="0" applyProtection="0">
      <alignment horizontal="left" vertical="top" indent="1"/>
    </xf>
    <xf numFmtId="4" fontId="45" fillId="37" borderId="109" applyNumberFormat="0" applyProtection="0">
      <alignment horizontal="right" vertical="center"/>
    </xf>
    <xf numFmtId="0" fontId="16" fillId="122" borderId="106" applyNumberFormat="0" applyProtection="0">
      <alignment horizontal="left" vertical="center" indent="1"/>
    </xf>
    <xf numFmtId="0" fontId="36" fillId="101" borderId="106" applyNumberFormat="0" applyAlignment="0" applyProtection="0"/>
    <xf numFmtId="0" fontId="110" fillId="10" borderId="104" applyNumberFormat="0" applyAlignment="0" applyProtection="0"/>
    <xf numFmtId="4" fontId="18" fillId="123" borderId="106" applyNumberFormat="0" applyProtection="0">
      <alignment horizontal="left" vertical="center" indent="1"/>
    </xf>
    <xf numFmtId="4" fontId="45" fillId="34" borderId="110" applyNumberFormat="0" applyProtection="0">
      <alignment horizontal="right" vertical="center"/>
    </xf>
    <xf numFmtId="4" fontId="18" fillId="46" borderId="106" applyNumberFormat="0" applyProtection="0">
      <alignment horizontal="left" vertical="center" indent="1"/>
    </xf>
    <xf numFmtId="4" fontId="121" fillId="10" borderId="107" applyNumberFormat="0" applyProtection="0">
      <alignment horizontal="left" vertical="center" indent="1"/>
    </xf>
    <xf numFmtId="4" fontId="45" fillId="41" borderId="110" applyNumberFormat="0" applyProtection="0">
      <alignment horizontal="left" vertical="center" indent="1"/>
    </xf>
    <xf numFmtId="0" fontId="45" fillId="41" borderId="109" applyNumberFormat="0" applyProtection="0">
      <alignment horizontal="left" vertical="center" indent="1"/>
    </xf>
    <xf numFmtId="4" fontId="123" fillId="42" borderId="110" applyNumberFormat="0" applyProtection="0">
      <alignment horizontal="left" vertical="center" indent="1"/>
    </xf>
    <xf numFmtId="4" fontId="45" fillId="51" borderId="109" applyNumberFormat="0" applyProtection="0">
      <alignment horizontal="left" vertical="center" indent="1"/>
    </xf>
    <xf numFmtId="0" fontId="16" fillId="107" borderId="106" applyNumberFormat="0" applyProtection="0">
      <alignment horizontal="left" vertical="center" indent="1"/>
    </xf>
    <xf numFmtId="0" fontId="45" fillId="124" borderId="114"/>
    <xf numFmtId="0" fontId="45" fillId="6" borderId="109" applyNumberFormat="0" applyProtection="0">
      <alignment horizontal="left" vertical="center" indent="1"/>
    </xf>
    <xf numFmtId="0" fontId="16" fillId="107" borderId="106" applyNumberFormat="0" applyProtection="0">
      <alignment horizontal="left" vertical="center" indent="1"/>
    </xf>
    <xf numFmtId="4" fontId="45" fillId="38" borderId="109" applyNumberFormat="0" applyProtection="0">
      <alignment horizontal="right" vertical="center"/>
    </xf>
    <xf numFmtId="4" fontId="45" fillId="2" borderId="109" applyNumberFormat="0" applyProtection="0">
      <alignment horizontal="right" vertical="center"/>
    </xf>
    <xf numFmtId="4" fontId="18" fillId="111" borderId="106" applyNumberFormat="0" applyProtection="0">
      <alignment horizontal="right" vertical="center"/>
    </xf>
    <xf numFmtId="4" fontId="45" fillId="35" borderId="109" applyNumberFormat="0" applyProtection="0">
      <alignment horizontal="right" vertical="center"/>
    </xf>
    <xf numFmtId="4" fontId="18" fillId="119" borderId="106" applyNumberFormat="0" applyProtection="0">
      <alignment horizontal="left" vertical="center" indent="1"/>
    </xf>
    <xf numFmtId="4" fontId="18" fillId="119" borderId="106" applyNumberFormat="0" applyProtection="0">
      <alignment horizontal="right" vertical="center"/>
    </xf>
    <xf numFmtId="0" fontId="18" fillId="4" borderId="105" applyNumberFormat="0" applyFont="0" applyAlignment="0" applyProtection="0"/>
    <xf numFmtId="0" fontId="45" fillId="6" borderId="107" applyNumberFormat="0" applyProtection="0">
      <alignment horizontal="left" vertical="top" indent="1"/>
    </xf>
    <xf numFmtId="0" fontId="27" fillId="0" borderId="113" applyNumberFormat="0" applyFill="0" applyAlignment="0" applyProtection="0"/>
    <xf numFmtId="0" fontId="45" fillId="10" borderId="109" applyNumberFormat="0" applyProtection="0">
      <alignment horizontal="left" vertical="center" indent="1"/>
    </xf>
    <xf numFmtId="4" fontId="18" fillId="117" borderId="106" applyNumberFormat="0" applyProtection="0">
      <alignment horizontal="right" vertical="center"/>
    </xf>
    <xf numFmtId="4" fontId="18" fillId="123" borderId="106" applyNumberFormat="0" applyProtection="0">
      <alignment vertical="center"/>
    </xf>
    <xf numFmtId="4" fontId="45" fillId="51" borderId="109" applyNumberFormat="0" applyProtection="0">
      <alignment horizontal="left" vertical="center" indent="1"/>
    </xf>
    <xf numFmtId="0" fontId="16" fillId="122" borderId="106" applyNumberFormat="0" applyProtection="0">
      <alignment horizontal="left" vertical="center" indent="1"/>
    </xf>
    <xf numFmtId="4" fontId="45" fillId="9" borderId="109" applyNumberFormat="0" applyProtection="0">
      <alignment horizontal="right" vertical="center"/>
    </xf>
    <xf numFmtId="4" fontId="18" fillId="114" borderId="106" applyNumberFormat="0" applyProtection="0">
      <alignment horizontal="right" vertical="center"/>
    </xf>
    <xf numFmtId="4" fontId="45" fillId="36" borderId="109" applyNumberFormat="0" applyProtection="0">
      <alignment horizontal="right" vertical="center"/>
    </xf>
    <xf numFmtId="4" fontId="45" fillId="34" borderId="110" applyNumberFormat="0" applyProtection="0">
      <alignment horizontal="right" vertical="center"/>
    </xf>
    <xf numFmtId="0" fontId="27" fillId="0" borderId="108" applyNumberFormat="0" applyFill="0" applyAlignment="0" applyProtection="0"/>
    <xf numFmtId="4" fontId="45" fillId="7" borderId="109" applyNumberFormat="0" applyProtection="0">
      <alignment horizontal="right" vertical="center"/>
    </xf>
    <xf numFmtId="4" fontId="45" fillId="40" borderId="110" applyNumberFormat="0" applyProtection="0">
      <alignment horizontal="left" vertical="center" indent="1"/>
    </xf>
    <xf numFmtId="4" fontId="45" fillId="110" borderId="109" applyNumberFormat="0" applyProtection="0">
      <alignment horizontal="right" vertical="center"/>
    </xf>
    <xf numFmtId="4" fontId="45" fillId="7" borderId="109" applyNumberFormat="0" applyProtection="0">
      <alignment horizontal="right" vertical="center"/>
    </xf>
    <xf numFmtId="4" fontId="45" fillId="51" borderId="109" applyNumberFormat="0" applyProtection="0">
      <alignment horizontal="left" vertical="center" indent="1"/>
    </xf>
    <xf numFmtId="4" fontId="45" fillId="110" borderId="109" applyNumberFormat="0" applyProtection="0">
      <alignment horizontal="right" vertical="center"/>
    </xf>
    <xf numFmtId="0" fontId="45" fillId="121" borderId="109" applyNumberFormat="0" applyProtection="0">
      <alignment horizontal="left" vertical="center" indent="1"/>
    </xf>
    <xf numFmtId="4" fontId="45" fillId="51" borderId="109" applyNumberFormat="0" applyProtection="0">
      <alignment horizontal="left" vertical="center" indent="1"/>
    </xf>
    <xf numFmtId="4" fontId="45" fillId="36" borderId="109" applyNumberFormat="0" applyProtection="0">
      <alignment horizontal="right" vertical="center"/>
    </xf>
    <xf numFmtId="4" fontId="45" fillId="2" borderId="109" applyNumberFormat="0" applyProtection="0">
      <alignment horizontal="right" vertical="center"/>
    </xf>
    <xf numFmtId="4" fontId="45" fillId="51" borderId="109" applyNumberFormat="0" applyProtection="0">
      <alignment horizontal="left" vertical="center" indent="1"/>
    </xf>
    <xf numFmtId="0" fontId="121" fillId="4" borderId="107" applyNumberFormat="0" applyProtection="0">
      <alignment horizontal="left" vertical="top" indent="1"/>
    </xf>
    <xf numFmtId="0" fontId="16" fillId="107" borderId="106" applyNumberFormat="0" applyProtection="0">
      <alignment horizontal="left" vertical="center" indent="1"/>
    </xf>
    <xf numFmtId="4" fontId="45" fillId="36" borderId="109" applyNumberFormat="0" applyProtection="0">
      <alignment horizontal="right" vertical="center"/>
    </xf>
    <xf numFmtId="4" fontId="45" fillId="35" borderId="109" applyNumberFormat="0" applyProtection="0">
      <alignment horizontal="right" vertical="center"/>
    </xf>
    <xf numFmtId="0" fontId="45" fillId="121" borderId="109" applyNumberFormat="0" applyProtection="0">
      <alignment horizontal="left" vertical="center" indent="1"/>
    </xf>
    <xf numFmtId="0" fontId="45" fillId="6" borderId="109" applyNumberFormat="0" applyProtection="0">
      <alignment horizontal="left" vertical="center" indent="1"/>
    </xf>
    <xf numFmtId="4" fontId="118" fillId="106" borderId="109" applyNumberFormat="0" applyProtection="0">
      <alignment vertical="center"/>
    </xf>
    <xf numFmtId="4" fontId="45" fillId="33" borderId="109" applyNumberFormat="0" applyProtection="0">
      <alignment vertical="center"/>
    </xf>
    <xf numFmtId="4" fontId="118" fillId="106" borderId="109" applyNumberFormat="0" applyProtection="0">
      <alignment vertical="center"/>
    </xf>
    <xf numFmtId="0" fontId="16" fillId="46" borderId="106" applyNumberFormat="0" applyProtection="0">
      <alignment horizontal="left" vertical="center" indent="1"/>
    </xf>
    <xf numFmtId="4" fontId="45" fillId="34" borderId="110" applyNumberFormat="0" applyProtection="0">
      <alignment horizontal="right" vertical="center"/>
    </xf>
    <xf numFmtId="4" fontId="45" fillId="106" borderId="109" applyNumberFormat="0" applyProtection="0">
      <alignment horizontal="left" vertical="center" indent="1"/>
    </xf>
    <xf numFmtId="4" fontId="16" fillId="8" borderId="110" applyNumberFormat="0" applyProtection="0">
      <alignment horizontal="left" vertical="center" indent="1"/>
    </xf>
    <xf numFmtId="0" fontId="45" fillId="6" borderId="109" applyNumberFormat="0" applyProtection="0">
      <alignment horizontal="left" vertical="center" indent="1"/>
    </xf>
    <xf numFmtId="4" fontId="16" fillId="8" borderId="110" applyNumberFormat="0" applyProtection="0">
      <alignment horizontal="left" vertical="center" indent="1"/>
    </xf>
    <xf numFmtId="0" fontId="16" fillId="46" borderId="106" applyNumberFormat="0" applyProtection="0">
      <alignment horizontal="left" vertical="center" indent="1"/>
    </xf>
    <xf numFmtId="0" fontId="16" fillId="107" borderId="106" applyNumberFormat="0" applyProtection="0">
      <alignment horizontal="left" vertical="center" indent="1"/>
    </xf>
    <xf numFmtId="4" fontId="18" fillId="106" borderId="106" applyNumberFormat="0" applyProtection="0">
      <alignment vertical="center"/>
    </xf>
    <xf numFmtId="4" fontId="45" fillId="36" borderId="109" applyNumberFormat="0" applyProtection="0">
      <alignment horizontal="right" vertical="center"/>
    </xf>
    <xf numFmtId="4" fontId="16" fillId="8" borderId="110" applyNumberFormat="0" applyProtection="0">
      <alignment horizontal="left" vertical="center" indent="1"/>
    </xf>
    <xf numFmtId="4" fontId="37" fillId="118" borderId="106" applyNumberFormat="0" applyProtection="0">
      <alignment horizontal="left" vertical="center" indent="1"/>
    </xf>
    <xf numFmtId="4" fontId="18" fillId="116" borderId="106" applyNumberFormat="0" applyProtection="0">
      <alignment horizontal="right" vertical="center"/>
    </xf>
    <xf numFmtId="4" fontId="18" fillId="106" borderId="106" applyNumberFormat="0" applyProtection="0">
      <alignment vertical="center"/>
    </xf>
    <xf numFmtId="4" fontId="40" fillId="123" borderId="106" applyNumberFormat="0" applyProtection="0">
      <alignment vertical="center"/>
    </xf>
    <xf numFmtId="4" fontId="40" fillId="119" borderId="106" applyNumberFormat="0" applyProtection="0">
      <alignment horizontal="right" vertical="center"/>
    </xf>
    <xf numFmtId="4" fontId="18" fillId="114" borderId="106" applyNumberFormat="0" applyProtection="0">
      <alignment horizontal="right" vertical="center"/>
    </xf>
    <xf numFmtId="0" fontId="18" fillId="4" borderId="105" applyNumberFormat="0" applyFont="0" applyAlignment="0" applyProtection="0"/>
    <xf numFmtId="4" fontId="18" fillId="108" borderId="106" applyNumberFormat="0" applyProtection="0">
      <alignment horizontal="right" vertical="center"/>
    </xf>
    <xf numFmtId="4" fontId="45" fillId="9" borderId="109" applyNumberFormat="0" applyProtection="0">
      <alignment horizontal="right" vertical="center"/>
    </xf>
    <xf numFmtId="4" fontId="124" fillId="5" borderId="109" applyNumberFormat="0" applyProtection="0">
      <alignment horizontal="right" vertical="center"/>
    </xf>
    <xf numFmtId="0" fontId="16" fillId="122" borderId="106" applyNumberFormat="0" applyProtection="0">
      <alignment horizontal="left" vertical="center" indent="1"/>
    </xf>
    <xf numFmtId="0" fontId="45" fillId="41" borderId="109" applyNumberFormat="0" applyProtection="0">
      <alignment horizontal="left" vertical="center" indent="1"/>
    </xf>
    <xf numFmtId="0" fontId="45" fillId="121" borderId="109" applyNumberFormat="0" applyProtection="0">
      <alignment horizontal="left" vertical="center" indent="1"/>
    </xf>
    <xf numFmtId="4" fontId="45" fillId="34" borderId="110" applyNumberFormat="0" applyProtection="0">
      <alignment horizontal="right" vertical="center"/>
    </xf>
    <xf numFmtId="4" fontId="45" fillId="106" borderId="109" applyNumberFormat="0" applyProtection="0">
      <alignment horizontal="left" vertical="center" indent="1"/>
    </xf>
    <xf numFmtId="0" fontId="45" fillId="8" borderId="107" applyNumberFormat="0" applyProtection="0">
      <alignment horizontal="left" vertical="top" indent="1"/>
    </xf>
    <xf numFmtId="4" fontId="45" fillId="34" borderId="110" applyNumberFormat="0" applyProtection="0">
      <alignment horizontal="right" vertical="center"/>
    </xf>
    <xf numFmtId="4" fontId="45" fillId="2" borderId="110" applyNumberFormat="0" applyProtection="0">
      <alignment horizontal="left" vertical="center" indent="1"/>
    </xf>
    <xf numFmtId="4" fontId="45" fillId="40" borderId="110" applyNumberFormat="0" applyProtection="0">
      <alignment horizontal="left" vertical="center" indent="1"/>
    </xf>
    <xf numFmtId="4" fontId="45" fillId="2" borderId="109" applyNumberFormat="0" applyProtection="0">
      <alignment horizontal="right" vertical="center"/>
    </xf>
    <xf numFmtId="0" fontId="45" fillId="8" borderId="107" applyNumberFormat="0" applyProtection="0">
      <alignment horizontal="left" vertical="top" indent="1"/>
    </xf>
    <xf numFmtId="4" fontId="45" fillId="38" borderId="109" applyNumberFormat="0" applyProtection="0">
      <alignment horizontal="right" vertical="center"/>
    </xf>
    <xf numFmtId="0" fontId="45" fillId="121" borderId="109" applyNumberFormat="0" applyProtection="0">
      <alignment horizontal="left" vertical="center" indent="1"/>
    </xf>
    <xf numFmtId="0" fontId="116" fillId="11" borderId="104" applyNumberFormat="0" applyAlignment="0" applyProtection="0"/>
    <xf numFmtId="4" fontId="18" fillId="123" borderId="106" applyNumberFormat="0" applyProtection="0">
      <alignment horizontal="left" vertical="center" indent="1"/>
    </xf>
    <xf numFmtId="4" fontId="121" fillId="4" borderId="107" applyNumberFormat="0" applyProtection="0">
      <alignment vertical="center"/>
    </xf>
    <xf numFmtId="4" fontId="121" fillId="4" borderId="107" applyNumberFormat="0" applyProtection="0">
      <alignment vertical="center"/>
    </xf>
    <xf numFmtId="0" fontId="45" fillId="6" borderId="107" applyNumberFormat="0" applyProtection="0">
      <alignment horizontal="left" vertical="top" indent="1"/>
    </xf>
    <xf numFmtId="4" fontId="45" fillId="110" borderId="109" applyNumberFormat="0" applyProtection="0">
      <alignment horizontal="right" vertical="center"/>
    </xf>
    <xf numFmtId="4" fontId="45" fillId="2" borderId="110" applyNumberFormat="0" applyProtection="0">
      <alignment horizontal="left" vertical="center" indent="1"/>
    </xf>
    <xf numFmtId="0" fontId="45" fillId="10" borderId="109" applyNumberFormat="0" applyProtection="0">
      <alignment horizontal="left" vertical="center" indent="1"/>
    </xf>
    <xf numFmtId="4" fontId="18" fillId="119" borderId="106" applyNumberFormat="0" applyProtection="0">
      <alignment horizontal="left" vertical="center" indent="1"/>
    </xf>
    <xf numFmtId="4" fontId="45" fillId="9" borderId="109" applyNumberFormat="0" applyProtection="0">
      <alignment horizontal="right" vertical="center"/>
    </xf>
    <xf numFmtId="4" fontId="45" fillId="2" borderId="109" applyNumberFormat="0" applyProtection="0">
      <alignment horizontal="right" vertical="center"/>
    </xf>
    <xf numFmtId="0" fontId="45" fillId="41" borderId="109" applyNumberFormat="0" applyProtection="0">
      <alignment horizontal="left" vertical="center" indent="1"/>
    </xf>
    <xf numFmtId="4" fontId="118" fillId="43" borderId="109" applyNumberFormat="0" applyProtection="0">
      <alignment horizontal="right" vertical="center"/>
    </xf>
    <xf numFmtId="4" fontId="45" fillId="2" borderId="109" applyNumberFormat="0" applyProtection="0">
      <alignment horizontal="right" vertical="center"/>
    </xf>
    <xf numFmtId="4" fontId="45" fillId="0" borderId="109" applyNumberFormat="0" applyProtection="0">
      <alignment horizontal="right" vertical="center"/>
    </xf>
    <xf numFmtId="0" fontId="16" fillId="45" borderId="106" applyNumberFormat="0" applyProtection="0">
      <alignment horizontal="left" vertical="center" indent="1"/>
    </xf>
    <xf numFmtId="4" fontId="18" fillId="111" borderId="106" applyNumberFormat="0" applyProtection="0">
      <alignment horizontal="right" vertical="center"/>
    </xf>
    <xf numFmtId="0" fontId="16" fillId="107" borderId="106" applyNumberFormat="0" applyProtection="0">
      <alignment horizontal="left" vertical="center" indent="1"/>
    </xf>
    <xf numFmtId="4" fontId="18" fillId="106" borderId="106" applyNumberFormat="0" applyProtection="0">
      <alignment vertical="center"/>
    </xf>
    <xf numFmtId="4" fontId="45" fillId="39" borderId="109" applyNumberFormat="0" applyProtection="0">
      <alignment horizontal="right" vertical="center"/>
    </xf>
    <xf numFmtId="0" fontId="33" fillId="27" borderId="109" applyNumberFormat="0" applyAlignment="0" applyProtection="0"/>
    <xf numFmtId="0" fontId="45" fillId="41" borderId="109" applyNumberFormat="0" applyProtection="0">
      <alignment horizontal="left" vertical="center" indent="1"/>
    </xf>
    <xf numFmtId="4" fontId="18" fillId="115" borderId="106" applyNumberFormat="0" applyProtection="0">
      <alignment horizontal="right" vertical="center"/>
    </xf>
    <xf numFmtId="4" fontId="45" fillId="9" borderId="109" applyNumberFormat="0" applyProtection="0">
      <alignment horizontal="right" vertical="center"/>
    </xf>
    <xf numFmtId="4" fontId="45" fillId="39" borderId="109" applyNumberFormat="0" applyProtection="0">
      <alignment horizontal="right" vertical="center"/>
    </xf>
    <xf numFmtId="0" fontId="16" fillId="107" borderId="106" applyNumberFormat="0" applyProtection="0">
      <alignment horizontal="left" vertical="center" indent="1"/>
    </xf>
    <xf numFmtId="4" fontId="18" fillId="109" borderId="106" applyNumberFormat="0" applyProtection="0">
      <alignment horizontal="right" vertical="center"/>
    </xf>
    <xf numFmtId="4" fontId="45" fillId="0" borderId="109" applyNumberFormat="0" applyProtection="0">
      <alignment horizontal="right" vertical="center"/>
    </xf>
    <xf numFmtId="4" fontId="45" fillId="110" borderId="109" applyNumberFormat="0" applyProtection="0">
      <alignment horizontal="right" vertical="center"/>
    </xf>
    <xf numFmtId="4" fontId="18" fillId="106" borderId="106" applyNumberFormat="0" applyProtection="0">
      <alignment horizontal="left" vertical="center" indent="1"/>
    </xf>
    <xf numFmtId="4" fontId="45" fillId="51" borderId="109" applyNumberFormat="0" applyProtection="0">
      <alignment horizontal="left" vertical="center" indent="1"/>
    </xf>
    <xf numFmtId="0" fontId="16" fillId="122" borderId="106" applyNumberFormat="0" applyProtection="0">
      <alignment horizontal="left" vertical="center" indent="1"/>
    </xf>
    <xf numFmtId="4" fontId="18" fillId="123" borderId="106" applyNumberFormat="0" applyProtection="0">
      <alignment horizontal="left" vertical="center" indent="1"/>
    </xf>
    <xf numFmtId="4" fontId="45" fillId="7" borderId="109" applyNumberFormat="0" applyProtection="0">
      <alignment horizontal="right" vertical="center"/>
    </xf>
    <xf numFmtId="0" fontId="116" fillId="11" borderId="104" applyNumberFormat="0" applyAlignment="0" applyProtection="0"/>
    <xf numFmtId="4" fontId="118" fillId="43" borderId="109" applyNumberFormat="0" applyProtection="0">
      <alignment horizontal="right" vertical="center"/>
    </xf>
    <xf numFmtId="4" fontId="45" fillId="110" borderId="109" applyNumberFormat="0" applyProtection="0">
      <alignment horizontal="right" vertical="center"/>
    </xf>
    <xf numFmtId="0" fontId="16" fillId="45" borderId="106" applyNumberFormat="0" applyProtection="0">
      <alignment horizontal="left" vertical="center" indent="1"/>
    </xf>
    <xf numFmtId="0" fontId="120" fillId="8" borderId="112" applyBorder="0"/>
    <xf numFmtId="0" fontId="45" fillId="6" borderId="109" applyNumberFormat="0" applyProtection="0">
      <alignment horizontal="left" vertical="center" indent="1"/>
    </xf>
    <xf numFmtId="4" fontId="18" fillId="116" borderId="106" applyNumberFormat="0" applyProtection="0">
      <alignment horizontal="right" vertical="center"/>
    </xf>
    <xf numFmtId="4" fontId="45" fillId="36" borderId="109" applyNumberFormat="0" applyProtection="0">
      <alignment horizontal="right" vertical="center"/>
    </xf>
    <xf numFmtId="4" fontId="45" fillId="9" borderId="109" applyNumberFormat="0" applyProtection="0">
      <alignment horizontal="right" vertical="center"/>
    </xf>
    <xf numFmtId="4" fontId="45" fillId="38" borderId="109" applyNumberFormat="0" applyProtection="0">
      <alignment horizontal="right" vertical="center"/>
    </xf>
    <xf numFmtId="4" fontId="121" fillId="10" borderId="107" applyNumberFormat="0" applyProtection="0">
      <alignment horizontal="left" vertical="center" indent="1"/>
    </xf>
    <xf numFmtId="4" fontId="45" fillId="7" borderId="109" applyNumberFormat="0" applyProtection="0">
      <alignment horizontal="right" vertical="center"/>
    </xf>
    <xf numFmtId="4" fontId="45" fillId="33" borderId="109" applyNumberFormat="0" applyProtection="0">
      <alignment vertical="center"/>
    </xf>
    <xf numFmtId="4" fontId="18" fillId="123" borderId="106" applyNumberFormat="0" applyProtection="0">
      <alignment horizontal="left" vertical="center" indent="1"/>
    </xf>
    <xf numFmtId="4" fontId="45" fillId="106" borderId="109" applyNumberFormat="0" applyProtection="0">
      <alignment horizontal="left" vertical="center" indent="1"/>
    </xf>
    <xf numFmtId="0" fontId="45" fillId="10" borderId="109" applyNumberFormat="0" applyProtection="0">
      <alignment horizontal="left" vertical="center" indent="1"/>
    </xf>
    <xf numFmtId="4" fontId="45" fillId="41" borderId="110" applyNumberFormat="0" applyProtection="0">
      <alignment horizontal="left" vertical="center" indent="1"/>
    </xf>
    <xf numFmtId="4" fontId="18" fillId="113" borderId="106" applyNumberFormat="0" applyProtection="0">
      <alignment horizontal="right" vertical="center"/>
    </xf>
    <xf numFmtId="4" fontId="45" fillId="35" borderId="109" applyNumberFormat="0" applyProtection="0">
      <alignment horizontal="right" vertical="center"/>
    </xf>
    <xf numFmtId="4" fontId="16" fillId="8" borderId="110" applyNumberFormat="0" applyProtection="0">
      <alignment horizontal="left" vertical="center" indent="1"/>
    </xf>
    <xf numFmtId="0" fontId="16" fillId="45" borderId="106" applyNumberFormat="0" applyProtection="0">
      <alignment horizontal="left" vertical="center" indent="1"/>
    </xf>
    <xf numFmtId="4" fontId="45" fillId="39" borderId="109" applyNumberFormat="0" applyProtection="0">
      <alignment horizontal="right" vertical="center"/>
    </xf>
    <xf numFmtId="4" fontId="45" fillId="2" borderId="110" applyNumberFormat="0" applyProtection="0">
      <alignment horizontal="left" vertical="center" indent="1"/>
    </xf>
    <xf numFmtId="4" fontId="42" fillId="119" borderId="106" applyNumberFormat="0" applyProtection="0">
      <alignment horizontal="right" vertical="center"/>
    </xf>
    <xf numFmtId="4" fontId="45" fillId="2" borderId="110" applyNumberFormat="0" applyProtection="0">
      <alignment horizontal="left" vertical="center" indent="1"/>
    </xf>
    <xf numFmtId="4" fontId="45" fillId="106" borderId="109" applyNumberFormat="0" applyProtection="0">
      <alignment horizontal="left" vertical="center" indent="1"/>
    </xf>
    <xf numFmtId="4" fontId="18" fillId="106" borderId="106" applyNumberFormat="0" applyProtection="0">
      <alignment vertical="center"/>
    </xf>
    <xf numFmtId="4" fontId="45" fillId="106" borderId="109" applyNumberFormat="0" applyProtection="0">
      <alignment horizontal="left" vertical="center" indent="1"/>
    </xf>
    <xf numFmtId="0" fontId="45" fillId="26" borderId="109" applyNumberFormat="0" applyFont="0" applyAlignment="0" applyProtection="0"/>
    <xf numFmtId="0" fontId="110" fillId="10" borderId="104" applyNumberFormat="0" applyAlignment="0" applyProtection="0"/>
    <xf numFmtId="4" fontId="45" fillId="7" borderId="109" applyNumberFormat="0" applyProtection="0">
      <alignment horizontal="right" vertical="center"/>
    </xf>
    <xf numFmtId="0" fontId="119" fillId="33" borderId="107" applyNumberFormat="0" applyProtection="0">
      <alignment horizontal="left" vertical="top" indent="1"/>
    </xf>
    <xf numFmtId="4" fontId="45" fillId="33" borderId="109" applyNumberFormat="0" applyProtection="0">
      <alignment vertical="center"/>
    </xf>
    <xf numFmtId="0" fontId="109" fillId="101" borderId="109" applyNumberFormat="0" applyAlignment="0" applyProtection="0"/>
    <xf numFmtId="4" fontId="123" fillId="42" borderId="110" applyNumberFormat="0" applyProtection="0">
      <alignment horizontal="left" vertical="center" indent="1"/>
    </xf>
    <xf numFmtId="0" fontId="45" fillId="124" borderId="114"/>
    <xf numFmtId="0" fontId="121" fillId="2" borderId="107" applyNumberFormat="0" applyProtection="0">
      <alignment horizontal="left" vertical="top" indent="1"/>
    </xf>
    <xf numFmtId="4" fontId="42" fillId="119" borderId="106" applyNumberFormat="0" applyProtection="0">
      <alignment horizontal="right" vertical="center"/>
    </xf>
    <xf numFmtId="4" fontId="45" fillId="0" borderId="109" applyNumberFormat="0" applyProtection="0">
      <alignment horizontal="right" vertical="center"/>
    </xf>
    <xf numFmtId="0" fontId="16" fillId="107" borderId="106" applyNumberFormat="0" applyProtection="0">
      <alignment horizontal="left" vertical="center" indent="1"/>
    </xf>
    <xf numFmtId="4" fontId="45" fillId="0" borderId="109" applyNumberFormat="0" applyProtection="0">
      <alignment horizontal="right" vertical="center"/>
    </xf>
    <xf numFmtId="4" fontId="45" fillId="51" borderId="109" applyNumberFormat="0" applyProtection="0">
      <alignment horizontal="left" vertical="center" indent="1"/>
    </xf>
    <xf numFmtId="4" fontId="40" fillId="119" borderId="106" applyNumberFormat="0" applyProtection="0">
      <alignment horizontal="right" vertical="center"/>
    </xf>
    <xf numFmtId="0" fontId="36" fillId="101" borderId="106" applyNumberFormat="0" applyAlignment="0" applyProtection="0"/>
    <xf numFmtId="0" fontId="45" fillId="26" borderId="109" applyNumberFormat="0" applyFont="0" applyAlignment="0" applyProtection="0"/>
    <xf numFmtId="0" fontId="18" fillId="4" borderId="105"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36" fillId="0" borderId="0" applyFont="0" applyFill="0" applyBorder="0" applyAlignment="0" applyProtection="0"/>
  </cellStyleXfs>
  <cellXfs count="755">
    <xf numFmtId="175" fontId="0" fillId="0" borderId="0" xfId="0"/>
    <xf numFmtId="3" fontId="16" fillId="0" borderId="24" xfId="0" applyNumberFormat="1" applyFont="1" applyBorder="1" applyAlignment="1">
      <alignment horizontal="center"/>
    </xf>
    <xf numFmtId="3" fontId="16" fillId="0" borderId="31" xfId="0" applyNumberFormat="1" applyFont="1" applyBorder="1" applyAlignment="1">
      <alignment horizontal="center"/>
    </xf>
    <xf numFmtId="3" fontId="16" fillId="0" borderId="33" xfId="0" applyNumberFormat="1" applyFont="1" applyBorder="1" applyAlignment="1">
      <alignment horizontal="center"/>
    </xf>
    <xf numFmtId="3" fontId="16" fillId="0" borderId="41" xfId="0" applyNumberFormat="1" applyFont="1" applyBorder="1" applyAlignment="1" applyProtection="1">
      <alignment wrapText="1"/>
      <protection locked="0"/>
    </xf>
    <xf numFmtId="165" fontId="16" fillId="0" borderId="25" xfId="0" applyNumberFormat="1" applyFont="1" applyBorder="1" applyAlignment="1" applyProtection="1">
      <alignment horizontal="center"/>
      <protection locked="0"/>
    </xf>
    <xf numFmtId="165" fontId="16" fillId="0" borderId="0" xfId="0" applyNumberFormat="1" applyFont="1" applyProtection="1">
      <protection locked="0"/>
    </xf>
    <xf numFmtId="3" fontId="16" fillId="0" borderId="48" xfId="0" applyNumberFormat="1" applyFont="1" applyBorder="1" applyAlignment="1" applyProtection="1">
      <alignment wrapText="1"/>
      <protection locked="0"/>
    </xf>
    <xf numFmtId="165" fontId="16" fillId="0" borderId="32" xfId="0" applyNumberFormat="1" applyFont="1" applyBorder="1" applyAlignment="1" applyProtection="1">
      <alignment horizontal="center"/>
      <protection locked="0"/>
    </xf>
    <xf numFmtId="165" fontId="16" fillId="0" borderId="0" xfId="0" applyNumberFormat="1" applyFont="1" applyAlignment="1" applyProtection="1">
      <alignment horizontal="center"/>
      <protection locked="0"/>
    </xf>
    <xf numFmtId="175" fontId="16" fillId="0" borderId="0" xfId="0" applyFont="1" applyProtection="1">
      <protection locked="0"/>
    </xf>
    <xf numFmtId="175" fontId="17" fillId="0" borderId="0" xfId="0" applyFont="1" applyAlignment="1" applyProtection="1">
      <alignment horizontal="center" wrapText="1"/>
      <protection locked="0"/>
    </xf>
    <xf numFmtId="3" fontId="16" fillId="0" borderId="0" xfId="0" applyNumberFormat="1" applyFont="1" applyProtection="1">
      <protection locked="0"/>
    </xf>
    <xf numFmtId="175" fontId="17" fillId="0" borderId="0" xfId="0" applyFont="1" applyAlignment="1" applyProtection="1">
      <alignment wrapText="1"/>
      <protection locked="0"/>
    </xf>
    <xf numFmtId="3" fontId="48" fillId="0" borderId="17" xfId="0" applyNumberFormat="1" applyFont="1" applyBorder="1" applyAlignment="1">
      <alignment horizontal="center"/>
    </xf>
    <xf numFmtId="6" fontId="16" fillId="0" borderId="0" xfId="66" applyNumberFormat="1"/>
    <xf numFmtId="175" fontId="16" fillId="0" borderId="0" xfId="66"/>
    <xf numFmtId="175" fontId="18" fillId="0" borderId="0" xfId="67"/>
    <xf numFmtId="175" fontId="37" fillId="0" borderId="11" xfId="67" applyFont="1" applyBorder="1" applyAlignment="1">
      <alignment horizontal="center"/>
    </xf>
    <xf numFmtId="175" fontId="37" fillId="0" borderId="0" xfId="67" applyFont="1" applyAlignment="1">
      <alignment horizontal="center"/>
    </xf>
    <xf numFmtId="175" fontId="17" fillId="0" borderId="43" xfId="66" applyFont="1" applyBorder="1"/>
    <xf numFmtId="175" fontId="17" fillId="0" borderId="45" xfId="66" applyFont="1" applyBorder="1" applyAlignment="1">
      <alignment wrapText="1"/>
    </xf>
    <xf numFmtId="175" fontId="46" fillId="0" borderId="0" xfId="66" applyFont="1"/>
    <xf numFmtId="175" fontId="17" fillId="44" borderId="35" xfId="66" applyFont="1" applyFill="1" applyBorder="1" applyAlignment="1">
      <alignment horizontal="center"/>
    </xf>
    <xf numFmtId="175" fontId="17" fillId="0" borderId="36" xfId="66" applyFont="1" applyBorder="1" applyAlignment="1">
      <alignment horizontal="center"/>
    </xf>
    <xf numFmtId="175" fontId="47" fillId="0" borderId="44" xfId="66" applyFont="1" applyBorder="1" applyAlignment="1">
      <alignment horizontal="center"/>
    </xf>
    <xf numFmtId="175" fontId="17" fillId="0" borderId="44" xfId="66" applyFont="1" applyBorder="1" applyAlignment="1">
      <alignment horizontal="center"/>
    </xf>
    <xf numFmtId="175" fontId="16" fillId="0" borderId="44" xfId="66" applyBorder="1"/>
    <xf numFmtId="164" fontId="16" fillId="0" borderId="0" xfId="66" applyNumberFormat="1"/>
    <xf numFmtId="175" fontId="17" fillId="0" borderId="44" xfId="66" applyFont="1" applyBorder="1"/>
    <xf numFmtId="164" fontId="16" fillId="0" borderId="0" xfId="66" applyNumberFormat="1" applyAlignment="1">
      <alignment horizontal="right"/>
    </xf>
    <xf numFmtId="175" fontId="17" fillId="0" borderId="44" xfId="66" applyFont="1" applyBorder="1" applyAlignment="1">
      <alignment horizontal="left" indent="1"/>
    </xf>
    <xf numFmtId="175" fontId="17" fillId="0" borderId="44" xfId="66" applyFont="1" applyBorder="1" applyAlignment="1">
      <alignment horizontal="center" wrapText="1"/>
    </xf>
    <xf numFmtId="175" fontId="17" fillId="0" borderId="43" xfId="66" applyFont="1" applyBorder="1" applyAlignment="1">
      <alignment horizontal="left" indent="1"/>
    </xf>
    <xf numFmtId="175" fontId="17" fillId="0" borderId="47" xfId="66" applyFont="1" applyBorder="1" applyAlignment="1">
      <alignment horizontal="left" indent="1"/>
    </xf>
    <xf numFmtId="164" fontId="16" fillId="44" borderId="0" xfId="66" applyNumberFormat="1" applyFill="1"/>
    <xf numFmtId="175" fontId="17" fillId="0" borderId="37" xfId="66" applyFont="1" applyBorder="1" applyAlignment="1">
      <alignment wrapText="1"/>
    </xf>
    <xf numFmtId="164" fontId="17" fillId="0" borderId="37" xfId="66" applyNumberFormat="1" applyFont="1" applyBorder="1"/>
    <xf numFmtId="175" fontId="17" fillId="0" borderId="0" xfId="0" applyFont="1"/>
    <xf numFmtId="175" fontId="0" fillId="0" borderId="15" xfId="0" applyBorder="1"/>
    <xf numFmtId="175" fontId="17" fillId="0" borderId="34" xfId="0" applyFont="1" applyBorder="1"/>
    <xf numFmtId="175" fontId="16" fillId="0" borderId="0" xfId="0" applyFont="1"/>
    <xf numFmtId="175" fontId="16" fillId="0" borderId="13" xfId="0" applyFont="1" applyBorder="1"/>
    <xf numFmtId="175" fontId="37" fillId="0" borderId="0" xfId="0" applyFont="1" applyProtection="1">
      <protection locked="0"/>
    </xf>
    <xf numFmtId="175" fontId="18" fillId="0" borderId="0" xfId="0" applyFont="1" applyProtection="1">
      <protection locked="0"/>
    </xf>
    <xf numFmtId="165" fontId="18" fillId="0" borderId="0" xfId="0" applyNumberFormat="1" applyFont="1" applyProtection="1">
      <protection locked="0"/>
    </xf>
    <xf numFmtId="175" fontId="49" fillId="0" borderId="0" xfId="0" applyFont="1" applyProtection="1">
      <protection locked="0"/>
    </xf>
    <xf numFmtId="172" fontId="37" fillId="0" borderId="0" xfId="0" applyNumberFormat="1" applyFont="1" applyAlignment="1" applyProtection="1">
      <alignment horizontal="right"/>
      <protection locked="0"/>
    </xf>
    <xf numFmtId="172" fontId="37" fillId="0" borderId="0" xfId="0" applyNumberFormat="1" applyFont="1" applyAlignment="1" applyProtection="1">
      <alignment horizontal="center"/>
      <protection locked="0"/>
    </xf>
    <xf numFmtId="38" fontId="50" fillId="0" borderId="0" xfId="0" applyNumberFormat="1" applyFont="1" applyProtection="1">
      <protection locked="0"/>
    </xf>
    <xf numFmtId="165" fontId="50" fillId="0" borderId="0" xfId="0" applyNumberFormat="1" applyFont="1" applyProtection="1">
      <protection locked="0"/>
    </xf>
    <xf numFmtId="175" fontId="50" fillId="0" borderId="0" xfId="0" applyFont="1" applyProtection="1">
      <protection locked="0"/>
    </xf>
    <xf numFmtId="175" fontId="18" fillId="0" borderId="0" xfId="0" applyFont="1" applyAlignment="1" applyProtection="1">
      <alignment horizontal="left" indent="1"/>
      <protection locked="0"/>
    </xf>
    <xf numFmtId="175" fontId="18" fillId="0" borderId="0" xfId="0" applyFont="1"/>
    <xf numFmtId="175" fontId="37" fillId="0" borderId="11" xfId="0" applyFont="1" applyBorder="1" applyAlignment="1">
      <alignment horizontal="center" wrapText="1"/>
    </xf>
    <xf numFmtId="175" fontId="18" fillId="0" borderId="11" xfId="0" applyFont="1" applyBorder="1"/>
    <xf numFmtId="172" fontId="18" fillId="0" borderId="11" xfId="0" applyNumberFormat="1" applyFont="1" applyBorder="1"/>
    <xf numFmtId="172" fontId="18" fillId="0" borderId="11" xfId="46" applyNumberFormat="1" applyFont="1" applyBorder="1" applyAlignment="1">
      <alignment horizontal="right"/>
    </xf>
    <xf numFmtId="166" fontId="18" fillId="0" borderId="11" xfId="46" applyNumberFormat="1" applyFont="1" applyBorder="1" applyAlignment="1">
      <alignment horizontal="right"/>
    </xf>
    <xf numFmtId="172" fontId="37" fillId="0" borderId="11" xfId="46" applyNumberFormat="1" applyFont="1" applyBorder="1" applyAlignment="1">
      <alignment horizontal="right" wrapText="1"/>
    </xf>
    <xf numFmtId="166" fontId="37" fillId="0" borderId="11" xfId="0" applyNumberFormat="1" applyFont="1" applyBorder="1"/>
    <xf numFmtId="166" fontId="18" fillId="0" borderId="11" xfId="46" applyNumberFormat="1" applyFont="1" applyBorder="1" applyAlignment="1">
      <alignment horizontal="right" wrapText="1"/>
    </xf>
    <xf numFmtId="166" fontId="18" fillId="0" borderId="11" xfId="0" applyNumberFormat="1" applyFont="1" applyBorder="1"/>
    <xf numFmtId="175" fontId="37" fillId="0" borderId="20" xfId="0" applyFont="1" applyBorder="1"/>
    <xf numFmtId="166" fontId="37" fillId="0" borderId="20" xfId="0" applyNumberFormat="1" applyFont="1" applyBorder="1"/>
    <xf numFmtId="175" fontId="37" fillId="0" borderId="20" xfId="0" applyFont="1" applyBorder="1" applyAlignment="1">
      <alignment horizontal="center"/>
    </xf>
    <xf numFmtId="166" fontId="37" fillId="0" borderId="11" xfId="0" applyNumberFormat="1" applyFont="1" applyBorder="1" applyAlignment="1">
      <alignment horizontal="center" wrapText="1"/>
    </xf>
    <xf numFmtId="166" fontId="37" fillId="0" borderId="11" xfId="0" applyNumberFormat="1" applyFont="1" applyBorder="1" applyAlignment="1">
      <alignment horizontal="center"/>
    </xf>
    <xf numFmtId="166" fontId="37" fillId="0" borderId="20" xfId="0" applyNumberFormat="1" applyFont="1" applyBorder="1" applyAlignment="1">
      <alignment horizontal="center"/>
    </xf>
    <xf numFmtId="166" fontId="18" fillId="0" borderId="27" xfId="0" applyNumberFormat="1" applyFont="1" applyBorder="1"/>
    <xf numFmtId="166" fontId="37" fillId="0" borderId="27" xfId="0" applyNumberFormat="1" applyFont="1" applyBorder="1"/>
    <xf numFmtId="166" fontId="18" fillId="0" borderId="18" xfId="46" applyNumberFormat="1" applyFont="1" applyBorder="1" applyAlignment="1">
      <alignment horizontal="right"/>
    </xf>
    <xf numFmtId="166" fontId="18" fillId="0" borderId="18" xfId="0" applyNumberFormat="1" applyFont="1" applyBorder="1"/>
    <xf numFmtId="166" fontId="18" fillId="0" borderId="19" xfId="0" applyNumberFormat="1" applyFont="1" applyBorder="1"/>
    <xf numFmtId="172" fontId="37" fillId="0" borderId="11" xfId="0" applyNumberFormat="1" applyFont="1" applyBorder="1"/>
    <xf numFmtId="166" fontId="37" fillId="0" borderId="11" xfId="46" applyNumberFormat="1" applyFont="1" applyBorder="1" applyAlignment="1">
      <alignment horizontal="right"/>
    </xf>
    <xf numFmtId="172" fontId="37" fillId="0" borderId="20" xfId="0" applyNumberFormat="1" applyFont="1" applyBorder="1" applyAlignment="1">
      <alignment horizontal="right"/>
    </xf>
    <xf numFmtId="172" fontId="37" fillId="0" borderId="20" xfId="0" applyNumberFormat="1" applyFont="1" applyBorder="1" applyAlignment="1">
      <alignment horizontal="center"/>
    </xf>
    <xf numFmtId="166" fontId="18" fillId="0" borderId="11" xfId="0" quotePrefix="1" applyNumberFormat="1" applyFont="1" applyBorder="1" applyAlignment="1">
      <alignment horizontal="center"/>
    </xf>
    <xf numFmtId="166" fontId="18" fillId="0" borderId="11" xfId="46" applyNumberFormat="1" applyFont="1" applyBorder="1" applyAlignment="1">
      <alignment horizontal="center"/>
    </xf>
    <xf numFmtId="166" fontId="37" fillId="0" borderId="20" xfId="0" applyNumberFormat="1" applyFont="1" applyBorder="1" applyAlignment="1">
      <alignment horizontal="right"/>
    </xf>
    <xf numFmtId="175" fontId="37" fillId="0" borderId="27" xfId="0" applyFont="1" applyBorder="1"/>
    <xf numFmtId="175" fontId="37" fillId="0" borderId="0" xfId="0" applyFont="1"/>
    <xf numFmtId="38" fontId="18" fillId="0" borderId="0" xfId="0" applyNumberFormat="1" applyFont="1"/>
    <xf numFmtId="165" fontId="18" fillId="0" borderId="0" xfId="0" applyNumberFormat="1" applyFont="1"/>
    <xf numFmtId="175" fontId="16" fillId="0" borderId="13" xfId="0" applyFont="1" applyBorder="1" applyProtection="1">
      <protection locked="0"/>
    </xf>
    <xf numFmtId="9" fontId="16" fillId="0" borderId="0" xfId="145" applyFont="1" applyProtection="1">
      <protection locked="0"/>
    </xf>
    <xf numFmtId="175" fontId="17" fillId="0" borderId="14" xfId="0" applyFont="1" applyBorder="1" applyAlignment="1" applyProtection="1">
      <alignment horizontal="center"/>
      <protection locked="0"/>
    </xf>
    <xf numFmtId="175" fontId="16" fillId="0" borderId="16" xfId="0" applyFont="1" applyBorder="1" applyProtection="1">
      <protection locked="0"/>
    </xf>
    <xf numFmtId="175" fontId="17" fillId="0" borderId="11" xfId="0" applyFont="1" applyBorder="1" applyAlignment="1" applyProtection="1">
      <alignment horizontal="center"/>
      <protection locked="0"/>
    </xf>
    <xf numFmtId="166" fontId="16" fillId="0" borderId="0" xfId="0" applyNumberFormat="1" applyFont="1" applyAlignment="1">
      <alignment horizontal="center"/>
    </xf>
    <xf numFmtId="173" fontId="16" fillId="0" borderId="0" xfId="0" applyNumberFormat="1" applyFont="1" applyAlignment="1">
      <alignment horizontal="center"/>
    </xf>
    <xf numFmtId="3" fontId="16" fillId="0" borderId="0" xfId="0" applyNumberFormat="1" applyFont="1" applyAlignment="1">
      <alignment horizontal="center"/>
    </xf>
    <xf numFmtId="165" fontId="16" fillId="0" borderId="0" xfId="0" applyNumberFormat="1" applyFont="1" applyAlignment="1">
      <alignment horizontal="center"/>
    </xf>
    <xf numFmtId="175" fontId="37" fillId="0" borderId="16" xfId="0" applyFont="1" applyBorder="1" applyAlignment="1" applyProtection="1">
      <alignment horizontal="center"/>
      <protection locked="0"/>
    </xf>
    <xf numFmtId="175" fontId="18" fillId="0" borderId="11" xfId="0" applyFont="1" applyBorder="1" applyProtection="1">
      <protection locked="0"/>
    </xf>
    <xf numFmtId="175" fontId="37" fillId="0" borderId="20" xfId="0" applyFont="1" applyBorder="1" applyProtection="1">
      <protection locked="0"/>
    </xf>
    <xf numFmtId="175" fontId="37" fillId="0" borderId="20" xfId="0" applyFont="1" applyBorder="1" applyAlignment="1" applyProtection="1">
      <alignment horizontal="center"/>
      <protection locked="0"/>
    </xf>
    <xf numFmtId="175" fontId="37" fillId="0" borderId="22" xfId="0" applyFont="1" applyBorder="1" applyProtection="1">
      <protection locked="0"/>
    </xf>
    <xf numFmtId="175" fontId="18" fillId="0" borderId="11" xfId="0" applyFont="1" applyBorder="1" applyAlignment="1" applyProtection="1">
      <alignment wrapText="1" shrinkToFit="1"/>
      <protection locked="0"/>
    </xf>
    <xf numFmtId="175" fontId="37" fillId="0" borderId="11" xfId="0" applyFont="1" applyBorder="1" applyProtection="1">
      <protection locked="0"/>
    </xf>
    <xf numFmtId="175" fontId="18" fillId="0" borderId="16" xfId="0" applyFont="1" applyBorder="1" applyProtection="1">
      <protection locked="0"/>
    </xf>
    <xf numFmtId="38" fontId="56" fillId="0" borderId="17" xfId="0" applyNumberFormat="1" applyFont="1" applyBorder="1" applyAlignment="1">
      <alignment horizontal="center"/>
    </xf>
    <xf numFmtId="172" fontId="18" fillId="0" borderId="11" xfId="0" quotePrefix="1" applyNumberFormat="1" applyFont="1" applyBorder="1" applyAlignment="1">
      <alignment horizontal="center"/>
    </xf>
    <xf numFmtId="172" fontId="18" fillId="0" borderId="11" xfId="0" quotePrefix="1" applyNumberFormat="1" applyFont="1" applyBorder="1" applyAlignment="1">
      <alignment horizontal="right"/>
    </xf>
    <xf numFmtId="172" fontId="37" fillId="0" borderId="20" xfId="0" quotePrefix="1" applyNumberFormat="1" applyFont="1" applyBorder="1" applyAlignment="1">
      <alignment horizontal="center"/>
    </xf>
    <xf numFmtId="172" fontId="37" fillId="0" borderId="20" xfId="0" applyNumberFormat="1" applyFont="1" applyBorder="1"/>
    <xf numFmtId="38" fontId="18" fillId="0" borderId="11" xfId="0" applyNumberFormat="1" applyFont="1" applyBorder="1"/>
    <xf numFmtId="165" fontId="37" fillId="0" borderId="11" xfId="0" applyNumberFormat="1" applyFont="1" applyBorder="1"/>
    <xf numFmtId="172" fontId="37" fillId="0" borderId="11" xfId="46" applyNumberFormat="1" applyFont="1" applyBorder="1" applyAlignment="1">
      <alignment horizontal="right"/>
    </xf>
    <xf numFmtId="38" fontId="18" fillId="0" borderId="27" xfId="0" applyNumberFormat="1" applyFont="1" applyBorder="1"/>
    <xf numFmtId="165" fontId="37" fillId="0" borderId="27" xfId="0" applyNumberFormat="1" applyFont="1" applyBorder="1"/>
    <xf numFmtId="175" fontId="18" fillId="0" borderId="20" xfId="0" applyFont="1" applyBorder="1"/>
    <xf numFmtId="170" fontId="18" fillId="0" borderId="18" xfId="46" applyNumberFormat="1" applyFont="1" applyBorder="1" applyAlignment="1">
      <alignment horizontal="right"/>
    </xf>
    <xf numFmtId="169" fontId="37" fillId="0" borderId="18" xfId="46" applyNumberFormat="1" applyFont="1" applyBorder="1" applyAlignment="1">
      <alignment horizontal="right"/>
    </xf>
    <xf numFmtId="170" fontId="18" fillId="0" borderId="11" xfId="46" applyNumberFormat="1" applyFont="1" applyBorder="1" applyAlignment="1">
      <alignment horizontal="right"/>
    </xf>
    <xf numFmtId="169" fontId="37" fillId="0" borderId="11" xfId="46" applyNumberFormat="1" applyFont="1" applyBorder="1" applyAlignment="1">
      <alignment horizontal="right"/>
    </xf>
    <xf numFmtId="166" fontId="37" fillId="0" borderId="11" xfId="46" applyNumberFormat="1" applyFont="1" applyBorder="1" applyAlignment="1">
      <alignment horizontal="right" wrapText="1"/>
    </xf>
    <xf numFmtId="166" fontId="18" fillId="0" borderId="11" xfId="0" quotePrefix="1" applyNumberFormat="1" applyFont="1" applyBorder="1" applyAlignment="1">
      <alignment horizontal="right"/>
    </xf>
    <xf numFmtId="166" fontId="37" fillId="0" borderId="20" xfId="0" quotePrefix="1" applyNumberFormat="1" applyFont="1" applyBorder="1" applyAlignment="1">
      <alignment horizontal="center"/>
    </xf>
    <xf numFmtId="166" fontId="18" fillId="0" borderId="20" xfId="0" applyNumberFormat="1" applyFont="1" applyBorder="1"/>
    <xf numFmtId="166" fontId="37" fillId="0" borderId="18" xfId="46" applyNumberFormat="1" applyFont="1" applyBorder="1" applyAlignment="1">
      <alignment horizontal="right"/>
    </xf>
    <xf numFmtId="175" fontId="18" fillId="0" borderId="18" xfId="0" applyFont="1" applyBorder="1"/>
    <xf numFmtId="175" fontId="62" fillId="0" borderId="0" xfId="0" applyFont="1"/>
    <xf numFmtId="3" fontId="48" fillId="0" borderId="17" xfId="0" applyNumberFormat="1" applyFont="1" applyBorder="1" applyAlignment="1" applyProtection="1">
      <alignment horizontal="center"/>
      <protection locked="0"/>
    </xf>
    <xf numFmtId="3" fontId="16" fillId="0" borderId="24" xfId="0" applyNumberFormat="1" applyFont="1" applyBorder="1" applyAlignment="1" applyProtection="1">
      <alignment horizontal="center"/>
      <protection locked="0"/>
    </xf>
    <xf numFmtId="3" fontId="48" fillId="0" borderId="20" xfId="0" applyNumberFormat="1" applyFont="1" applyBorder="1" applyAlignment="1" applyProtection="1">
      <alignment horizontal="center"/>
      <protection locked="0"/>
    </xf>
    <xf numFmtId="38" fontId="56" fillId="0" borderId="11" xfId="146" applyNumberFormat="1" applyFont="1" applyBorder="1" applyAlignment="1" applyProtection="1">
      <alignment horizontal="center"/>
      <protection locked="0"/>
    </xf>
    <xf numFmtId="175" fontId="37" fillId="0" borderId="11" xfId="0" applyFont="1" applyBorder="1" applyAlignment="1" applyProtection="1">
      <alignment horizontal="center" wrapText="1"/>
      <protection locked="0"/>
    </xf>
    <xf numFmtId="175" fontId="17" fillId="0" borderId="0" xfId="66" applyFont="1" applyProtection="1">
      <protection locked="0"/>
    </xf>
    <xf numFmtId="175" fontId="16" fillId="0" borderId="0" xfId="66" applyProtection="1">
      <protection locked="0"/>
    </xf>
    <xf numFmtId="175" fontId="16" fillId="0" borderId="36" xfId="66" applyBorder="1" applyProtection="1">
      <protection locked="0"/>
    </xf>
    <xf numFmtId="175" fontId="16" fillId="0" borderId="37" xfId="66" applyBorder="1" applyProtection="1">
      <protection locked="0"/>
    </xf>
    <xf numFmtId="175" fontId="16" fillId="0" borderId="38" xfId="66" applyBorder="1" applyProtection="1">
      <protection locked="0"/>
    </xf>
    <xf numFmtId="175" fontId="16" fillId="0" borderId="14" xfId="66" applyBorder="1" applyProtection="1">
      <protection locked="0"/>
    </xf>
    <xf numFmtId="175" fontId="16" fillId="0" borderId="18" xfId="66" applyBorder="1" applyProtection="1">
      <protection locked="0"/>
    </xf>
    <xf numFmtId="175" fontId="16" fillId="0" borderId="19" xfId="66" applyBorder="1" applyProtection="1">
      <protection locked="0"/>
    </xf>
    <xf numFmtId="175" fontId="17" fillId="0" borderId="11" xfId="66" applyFont="1" applyBorder="1" applyAlignment="1" applyProtection="1">
      <alignment horizontal="center" wrapText="1"/>
      <protection locked="0"/>
    </xf>
    <xf numFmtId="6" fontId="16" fillId="0" borderId="0" xfId="66" applyNumberFormat="1" applyProtection="1">
      <protection locked="0"/>
    </xf>
    <xf numFmtId="175" fontId="16" fillId="0" borderId="13" xfId="66" applyBorder="1" applyProtection="1">
      <protection locked="0"/>
    </xf>
    <xf numFmtId="164" fontId="16" fillId="0" borderId="42" xfId="66" applyNumberFormat="1" applyBorder="1" applyProtection="1">
      <protection locked="0"/>
    </xf>
    <xf numFmtId="175" fontId="16" fillId="0" borderId="42" xfId="66" applyBorder="1" applyProtection="1">
      <protection locked="0"/>
    </xf>
    <xf numFmtId="175" fontId="18" fillId="0" borderId="0" xfId="67" applyProtection="1">
      <protection locked="0"/>
    </xf>
    <xf numFmtId="175" fontId="18" fillId="0" borderId="11" xfId="67" applyBorder="1" applyProtection="1">
      <protection locked="0"/>
    </xf>
    <xf numFmtId="175" fontId="37" fillId="0" borderId="11" xfId="67" applyFont="1" applyBorder="1" applyProtection="1">
      <protection locked="0"/>
    </xf>
    <xf numFmtId="175" fontId="55" fillId="0" borderId="0" xfId="0" applyFont="1" applyProtection="1">
      <protection locked="0"/>
    </xf>
    <xf numFmtId="175" fontId="17" fillId="0" borderId="0" xfId="0" applyFont="1" applyProtection="1">
      <protection locked="0"/>
    </xf>
    <xf numFmtId="175" fontId="66" fillId="0" borderId="0" xfId="0" applyFont="1" applyAlignment="1">
      <alignment horizontal="left" vertical="center" indent="4"/>
    </xf>
    <xf numFmtId="175" fontId="17" fillId="0" borderId="0" xfId="0" applyFont="1" applyAlignment="1" applyProtection="1">
      <alignment horizontal="center"/>
      <protection locked="0"/>
    </xf>
    <xf numFmtId="17" fontId="17" fillId="0" borderId="0" xfId="0" quotePrefix="1" applyNumberFormat="1" applyFont="1" applyAlignment="1" applyProtection="1">
      <alignment horizontal="center"/>
      <protection locked="0"/>
    </xf>
    <xf numFmtId="175" fontId="0" fillId="47" borderId="0" xfId="0" applyFill="1"/>
    <xf numFmtId="17" fontId="17" fillId="47" borderId="0" xfId="0" quotePrefix="1" applyNumberFormat="1" applyFont="1" applyFill="1" applyAlignment="1" applyProtection="1">
      <alignment horizontal="center"/>
      <protection locked="0"/>
    </xf>
    <xf numFmtId="175" fontId="16" fillId="47" borderId="0" xfId="0" applyFont="1" applyFill="1" applyProtection="1">
      <protection locked="0"/>
    </xf>
    <xf numFmtId="175" fontId="54" fillId="0" borderId="0" xfId="0" applyFont="1" applyAlignment="1">
      <alignment horizontal="center"/>
    </xf>
    <xf numFmtId="38" fontId="16" fillId="0" borderId="24" xfId="0" applyNumberFormat="1" applyFont="1" applyBorder="1" applyAlignment="1">
      <alignment horizontal="center"/>
    </xf>
    <xf numFmtId="38" fontId="16" fillId="0" borderId="24" xfId="0" applyNumberFormat="1" applyFont="1" applyBorder="1" applyAlignment="1" applyProtection="1">
      <alignment horizontal="center"/>
      <protection locked="0"/>
    </xf>
    <xf numFmtId="175" fontId="16" fillId="0" borderId="17" xfId="0" applyFont="1" applyBorder="1" applyProtection="1">
      <protection locked="0"/>
    </xf>
    <xf numFmtId="3" fontId="16" fillId="0" borderId="29" xfId="0" applyNumberFormat="1" applyFont="1" applyBorder="1" applyAlignment="1">
      <alignment horizontal="center"/>
    </xf>
    <xf numFmtId="3" fontId="56" fillId="0" borderId="22" xfId="0" applyNumberFormat="1" applyFont="1" applyBorder="1" applyAlignment="1">
      <alignment horizontal="center"/>
    </xf>
    <xf numFmtId="3" fontId="56" fillId="0" borderId="17" xfId="0" applyNumberFormat="1" applyFont="1" applyBorder="1" applyAlignment="1">
      <alignment horizontal="center"/>
    </xf>
    <xf numFmtId="175" fontId="16" fillId="47" borderId="0" xfId="66" applyFill="1"/>
    <xf numFmtId="175" fontId="17" fillId="47" borderId="0" xfId="0" applyFont="1" applyFill="1" applyAlignment="1" applyProtection="1">
      <alignment horizontal="center"/>
      <protection locked="0"/>
    </xf>
    <xf numFmtId="175" fontId="17" fillId="0" borderId="11" xfId="0" applyFont="1" applyBorder="1" applyAlignment="1" applyProtection="1">
      <alignment horizontal="left"/>
      <protection locked="0"/>
    </xf>
    <xf numFmtId="17" fontId="18" fillId="0" borderId="0" xfId="0" applyNumberFormat="1" applyFont="1" applyAlignment="1" applyProtection="1">
      <alignment horizontal="center"/>
      <protection locked="0"/>
    </xf>
    <xf numFmtId="175" fontId="37" fillId="48" borderId="20" xfId="0" applyFont="1" applyFill="1" applyBorder="1" applyAlignment="1" applyProtection="1">
      <alignment horizontal="center" vertical="center"/>
      <protection locked="0"/>
    </xf>
    <xf numFmtId="175" fontId="37" fillId="48" borderId="11" xfId="0" applyFont="1" applyFill="1" applyBorder="1" applyAlignment="1" applyProtection="1">
      <alignment horizontal="center" vertical="center"/>
      <protection locked="0"/>
    </xf>
    <xf numFmtId="175" fontId="37" fillId="0" borderId="20" xfId="0" applyFont="1" applyBorder="1" applyAlignment="1" applyProtection="1">
      <alignment horizontal="right"/>
      <protection locked="0"/>
    </xf>
    <xf numFmtId="175" fontId="18" fillId="0" borderId="11" xfId="0" applyFont="1" applyBorder="1" applyAlignment="1" applyProtection="1">
      <alignment horizontal="left"/>
      <protection locked="0"/>
    </xf>
    <xf numFmtId="175" fontId="17" fillId="0" borderId="19" xfId="0" applyFont="1" applyBorder="1" applyAlignment="1" applyProtection="1">
      <alignment horizontal="center" wrapText="1"/>
      <protection locked="0"/>
    </xf>
    <xf numFmtId="3" fontId="17" fillId="0" borderId="26" xfId="0" applyNumberFormat="1" applyFont="1" applyBorder="1" applyAlignment="1">
      <alignment horizontal="center" wrapText="1"/>
    </xf>
    <xf numFmtId="174" fontId="16" fillId="0" borderId="24" xfId="0" applyNumberFormat="1" applyFont="1" applyBorder="1"/>
    <xf numFmtId="3" fontId="17" fillId="0" borderId="27" xfId="0" applyNumberFormat="1" applyFont="1" applyBorder="1" applyAlignment="1">
      <alignment horizontal="center" wrapText="1"/>
    </xf>
    <xf numFmtId="175" fontId="17" fillId="0" borderId="50" xfId="0" applyFont="1" applyBorder="1" applyAlignment="1">
      <alignment horizontal="center"/>
    </xf>
    <xf numFmtId="4" fontId="16" fillId="0" borderId="32" xfId="0" applyNumberFormat="1" applyFont="1" applyBorder="1" applyAlignment="1">
      <alignment horizontal="right"/>
    </xf>
    <xf numFmtId="4" fontId="16" fillId="0" borderId="29" xfId="0" applyNumberFormat="1" applyFont="1" applyBorder="1" applyAlignment="1">
      <alignment horizontal="right"/>
    </xf>
    <xf numFmtId="175" fontId="17" fillId="0" borderId="17" xfId="0" applyFont="1" applyBorder="1" applyProtection="1">
      <protection locked="0"/>
    </xf>
    <xf numFmtId="175" fontId="17" fillId="0" borderId="11" xfId="0" applyFont="1" applyBorder="1" applyProtection="1">
      <protection locked="0"/>
    </xf>
    <xf numFmtId="175" fontId="17" fillId="0" borderId="18" xfId="0" applyFont="1" applyBorder="1" applyAlignment="1" applyProtection="1">
      <alignment horizontal="center" wrapText="1"/>
      <protection locked="0"/>
    </xf>
    <xf numFmtId="175" fontId="17" fillId="0" borderId="11" xfId="0" applyFont="1" applyBorder="1" applyAlignment="1" applyProtection="1">
      <alignment horizontal="center" wrapText="1"/>
      <protection locked="0"/>
    </xf>
    <xf numFmtId="175" fontId="17" fillId="0" borderId="18" xfId="0" applyFont="1" applyBorder="1" applyAlignment="1">
      <alignment horizontal="center" wrapText="1"/>
    </xf>
    <xf numFmtId="175" fontId="17" fillId="0" borderId="18" xfId="0" applyFont="1" applyBorder="1" applyAlignment="1">
      <alignment horizontal="center"/>
    </xf>
    <xf numFmtId="175" fontId="17" fillId="0" borderId="20" xfId="0" applyFont="1" applyBorder="1" applyAlignment="1">
      <alignment horizontal="center" wrapText="1"/>
    </xf>
    <xf numFmtId="175" fontId="17" fillId="0" borderId="19" xfId="0" applyFont="1" applyBorder="1" applyAlignment="1">
      <alignment horizontal="center"/>
    </xf>
    <xf numFmtId="175" fontId="17" fillId="0" borderId="19" xfId="0" applyFont="1" applyBorder="1" applyAlignment="1" applyProtection="1">
      <alignment horizontal="center"/>
      <protection locked="0"/>
    </xf>
    <xf numFmtId="175" fontId="17" fillId="0" borderId="23" xfId="0" applyFont="1" applyBorder="1" applyProtection="1">
      <protection locked="0"/>
    </xf>
    <xf numFmtId="3" fontId="17" fillId="0" borderId="20" xfId="0" applyNumberFormat="1" applyFont="1" applyBorder="1" applyAlignment="1">
      <alignment horizontal="center" wrapText="1"/>
    </xf>
    <xf numFmtId="2" fontId="17" fillId="0" borderId="18" xfId="0" applyNumberFormat="1" applyFont="1" applyBorder="1" applyAlignment="1">
      <alignment horizontal="center" wrapText="1"/>
    </xf>
    <xf numFmtId="175" fontId="17" fillId="0" borderId="26" xfId="0" applyFont="1" applyBorder="1" applyAlignment="1">
      <alignment horizontal="center"/>
    </xf>
    <xf numFmtId="3" fontId="17" fillId="0" borderId="18" xfId="0" applyNumberFormat="1" applyFont="1" applyBorder="1" applyAlignment="1">
      <alignment horizontal="center" wrapText="1"/>
    </xf>
    <xf numFmtId="3" fontId="17" fillId="0" borderId="20" xfId="0" applyNumberFormat="1" applyFont="1" applyBorder="1" applyAlignment="1" applyProtection="1">
      <alignment horizontal="center" wrapText="1"/>
      <protection locked="0"/>
    </xf>
    <xf numFmtId="175" fontId="17" fillId="0" borderId="49" xfId="0" applyFont="1" applyBorder="1" applyAlignment="1">
      <alignment horizontal="center"/>
    </xf>
    <xf numFmtId="175" fontId="17" fillId="0" borderId="28" xfId="0" applyFont="1" applyBorder="1" applyProtection="1">
      <protection locked="0"/>
    </xf>
    <xf numFmtId="175" fontId="42" fillId="0" borderId="0" xfId="0" applyFont="1" applyProtection="1">
      <protection locked="0"/>
    </xf>
    <xf numFmtId="3" fontId="42" fillId="0" borderId="0" xfId="0" applyNumberFormat="1" applyFont="1" applyProtection="1">
      <protection locked="0"/>
    </xf>
    <xf numFmtId="1" fontId="42" fillId="0" borderId="0" xfId="0" applyNumberFormat="1" applyFont="1" applyProtection="1">
      <protection locked="0"/>
    </xf>
    <xf numFmtId="175" fontId="17" fillId="47" borderId="18" xfId="0" applyFont="1" applyFill="1" applyBorder="1" applyAlignment="1" applyProtection="1">
      <alignment horizontal="center" wrapText="1"/>
      <protection locked="0"/>
    </xf>
    <xf numFmtId="175" fontId="18" fillId="47" borderId="0" xfId="67" applyFill="1" applyProtection="1">
      <protection locked="0"/>
    </xf>
    <xf numFmtId="175" fontId="16" fillId="47" borderId="0" xfId="66" applyFill="1" applyProtection="1">
      <protection locked="0"/>
    </xf>
    <xf numFmtId="17" fontId="17" fillId="47" borderId="0" xfId="0" applyNumberFormat="1" applyFont="1" applyFill="1" applyAlignment="1" applyProtection="1">
      <alignment horizontal="center"/>
      <protection locked="0"/>
    </xf>
    <xf numFmtId="175" fontId="18" fillId="47" borderId="0" xfId="0" applyFont="1" applyFill="1" applyProtection="1">
      <protection locked="0"/>
    </xf>
    <xf numFmtId="164" fontId="16" fillId="0" borderId="51" xfId="66" applyNumberFormat="1" applyBorder="1" applyProtection="1">
      <protection locked="0"/>
    </xf>
    <xf numFmtId="175" fontId="54" fillId="47" borderId="0" xfId="0" applyFont="1" applyFill="1" applyAlignment="1">
      <alignment horizontal="center"/>
    </xf>
    <xf numFmtId="175" fontId="17" fillId="0" borderId="51" xfId="66" applyFont="1" applyBorder="1" applyProtection="1">
      <protection locked="0"/>
    </xf>
    <xf numFmtId="175" fontId="17" fillId="47" borderId="0" xfId="0" applyFont="1" applyFill="1" applyProtection="1">
      <protection locked="0"/>
    </xf>
    <xf numFmtId="175" fontId="0" fillId="0" borderId="0" xfId="0" quotePrefix="1"/>
    <xf numFmtId="175" fontId="16" fillId="47" borderId="17" xfId="0" applyFont="1" applyFill="1" applyBorder="1"/>
    <xf numFmtId="3" fontId="56" fillId="47" borderId="17" xfId="0" applyNumberFormat="1" applyFont="1" applyFill="1" applyBorder="1" applyAlignment="1">
      <alignment horizontal="center"/>
    </xf>
    <xf numFmtId="175" fontId="17" fillId="0" borderId="43" xfId="66" quotePrefix="1" applyFont="1" applyBorder="1" applyAlignment="1">
      <alignment horizontal="left" wrapText="1" indent="1"/>
    </xf>
    <xf numFmtId="175" fontId="18" fillId="0" borderId="0" xfId="0" quotePrefix="1" applyFont="1" applyProtection="1">
      <protection locked="0"/>
    </xf>
    <xf numFmtId="175" fontId="68" fillId="0" borderId="0" xfId="0" applyFont="1" applyAlignment="1" applyProtection="1">
      <alignment horizontal="center"/>
      <protection locked="0"/>
    </xf>
    <xf numFmtId="168" fontId="53" fillId="0" borderId="0" xfId="52" applyNumberFormat="1" applyFont="1"/>
    <xf numFmtId="175" fontId="69" fillId="43" borderId="0" xfId="66" applyFont="1" applyFill="1"/>
    <xf numFmtId="44" fontId="69" fillId="43" borderId="0" xfId="50" applyFont="1" applyFill="1"/>
    <xf numFmtId="175" fontId="69" fillId="47" borderId="0" xfId="66" applyFont="1" applyFill="1"/>
    <xf numFmtId="17" fontId="68" fillId="47" borderId="0" xfId="0" applyNumberFormat="1" applyFont="1" applyFill="1" applyAlignment="1" applyProtection="1">
      <alignment horizontal="center"/>
      <protection locked="0"/>
    </xf>
    <xf numFmtId="175" fontId="68" fillId="44" borderId="35" xfId="66" applyFont="1" applyFill="1" applyBorder="1"/>
    <xf numFmtId="175" fontId="69" fillId="43" borderId="37" xfId="66" applyFont="1" applyFill="1" applyBorder="1"/>
    <xf numFmtId="44" fontId="69" fillId="43" borderId="37" xfId="50" applyFont="1" applyFill="1" applyBorder="1"/>
    <xf numFmtId="175" fontId="68" fillId="44" borderId="43" xfId="66" applyFont="1" applyFill="1" applyBorder="1" applyAlignment="1">
      <alignment horizontal="center"/>
    </xf>
    <xf numFmtId="175" fontId="68" fillId="44" borderId="44" xfId="66" applyFont="1" applyFill="1" applyBorder="1" applyAlignment="1">
      <alignment horizontal="center"/>
    </xf>
    <xf numFmtId="175" fontId="68" fillId="43" borderId="0" xfId="66" applyFont="1" applyFill="1" applyAlignment="1">
      <alignment horizontal="center"/>
    </xf>
    <xf numFmtId="175" fontId="68" fillId="0" borderId="44" xfId="66" applyFont="1" applyBorder="1" applyAlignment="1">
      <alignment horizontal="center"/>
    </xf>
    <xf numFmtId="164" fontId="69" fillId="0" borderId="0" xfId="66" applyNumberFormat="1" applyFont="1"/>
    <xf numFmtId="175" fontId="69" fillId="0" borderId="0" xfId="66" applyFont="1"/>
    <xf numFmtId="175" fontId="68" fillId="0" borderId="43" xfId="66" applyFont="1" applyBorder="1" applyAlignment="1">
      <alignment wrapText="1"/>
    </xf>
    <xf numFmtId="175" fontId="68" fillId="0" borderId="20" xfId="66" applyFont="1" applyBorder="1"/>
    <xf numFmtId="43" fontId="16" fillId="0" borderId="24" xfId="0" applyNumberFormat="1" applyFont="1" applyBorder="1" applyAlignment="1">
      <alignment horizontal="right"/>
    </xf>
    <xf numFmtId="175" fontId="16" fillId="47" borderId="13" xfId="0" applyFont="1" applyFill="1" applyBorder="1"/>
    <xf numFmtId="6" fontId="37" fillId="0" borderId="11" xfId="67" applyNumberFormat="1" applyFont="1" applyBorder="1" applyAlignment="1" applyProtection="1">
      <alignment horizontal="center"/>
      <protection locked="0"/>
    </xf>
    <xf numFmtId="4" fontId="16" fillId="0" borderId="24" xfId="0" applyNumberFormat="1" applyFont="1" applyBorder="1" applyAlignment="1">
      <alignment horizontal="right"/>
    </xf>
    <xf numFmtId="4" fontId="16" fillId="0" borderId="25" xfId="0" applyNumberFormat="1" applyFont="1" applyBorder="1" applyAlignment="1">
      <alignment horizontal="right"/>
    </xf>
    <xf numFmtId="2" fontId="16" fillId="0" borderId="24" xfId="0" applyNumberFormat="1" applyFont="1" applyBorder="1" applyAlignment="1">
      <alignment horizontal="right"/>
    </xf>
    <xf numFmtId="2" fontId="16" fillId="0" borderId="29" xfId="0" applyNumberFormat="1" applyFont="1" applyBorder="1" applyAlignment="1">
      <alignment horizontal="right"/>
    </xf>
    <xf numFmtId="165" fontId="16" fillId="0" borderId="32" xfId="0" applyNumberFormat="1" applyFont="1" applyBorder="1" applyAlignment="1">
      <alignment horizontal="right"/>
    </xf>
    <xf numFmtId="165" fontId="16" fillId="0" borderId="25" xfId="0" applyNumberFormat="1" applyFont="1" applyBorder="1" applyAlignment="1">
      <alignment horizontal="right"/>
    </xf>
    <xf numFmtId="175" fontId="71" fillId="0" borderId="0" xfId="0" applyFont="1" applyAlignment="1">
      <alignment vertical="center"/>
    </xf>
    <xf numFmtId="164" fontId="17" fillId="0" borderId="37" xfId="66" applyNumberFormat="1" applyFont="1" applyBorder="1" applyAlignment="1">
      <alignment horizontal="center"/>
    </xf>
    <xf numFmtId="175" fontId="16" fillId="0" borderId="0" xfId="66" applyAlignment="1">
      <alignment horizontal="center"/>
    </xf>
    <xf numFmtId="2" fontId="16" fillId="0" borderId="24" xfId="0" applyNumberFormat="1" applyFont="1" applyBorder="1"/>
    <xf numFmtId="2" fontId="16" fillId="0" borderId="25" xfId="0" applyNumberFormat="1" applyFont="1" applyBorder="1" applyAlignment="1">
      <alignment horizontal="right"/>
    </xf>
    <xf numFmtId="2" fontId="16" fillId="0" borderId="32" xfId="0" applyNumberFormat="1" applyFont="1" applyBorder="1" applyAlignment="1">
      <alignment horizontal="right"/>
    </xf>
    <xf numFmtId="2" fontId="16" fillId="0" borderId="29" xfId="0" applyNumberFormat="1" applyFont="1" applyBorder="1"/>
    <xf numFmtId="175" fontId="17" fillId="47" borderId="0" xfId="66" applyFont="1" applyFill="1" applyAlignment="1" applyProtection="1">
      <alignment horizontal="center"/>
      <protection locked="0"/>
    </xf>
    <xf numFmtId="171" fontId="17" fillId="47" borderId="0" xfId="0" applyNumberFormat="1" applyFont="1" applyFill="1" applyAlignment="1" applyProtection="1">
      <alignment horizontal="center"/>
      <protection locked="0"/>
    </xf>
    <xf numFmtId="175" fontId="71" fillId="0" borderId="0" xfId="0" applyFont="1" applyProtection="1">
      <protection locked="0"/>
    </xf>
    <xf numFmtId="175" fontId="71" fillId="0" borderId="0" xfId="0" applyFont="1"/>
    <xf numFmtId="175" fontId="71" fillId="0" borderId="0" xfId="0" applyFont="1" applyAlignment="1">
      <alignment vertical="top"/>
    </xf>
    <xf numFmtId="175" fontId="73" fillId="0" borderId="0" xfId="0" applyFont="1" applyAlignment="1" applyProtection="1">
      <alignment horizontal="left"/>
      <protection locked="0"/>
    </xf>
    <xf numFmtId="175" fontId="73" fillId="0" borderId="0" xfId="0" applyFont="1" applyAlignment="1">
      <alignment horizontal="left" vertical="top"/>
    </xf>
    <xf numFmtId="4" fontId="16" fillId="0" borderId="0" xfId="66" applyNumberFormat="1" applyProtection="1">
      <protection locked="0"/>
    </xf>
    <xf numFmtId="175" fontId="68" fillId="0" borderId="0" xfId="66" applyFont="1" applyAlignment="1">
      <alignment wrapText="1"/>
    </xf>
    <xf numFmtId="164" fontId="68" fillId="43" borderId="0" xfId="66" applyNumberFormat="1" applyFont="1" applyFill="1"/>
    <xf numFmtId="164" fontId="68" fillId="0" borderId="0" xfId="66" applyNumberFormat="1" applyFont="1" applyAlignment="1">
      <alignment horizontal="right"/>
    </xf>
    <xf numFmtId="165" fontId="16" fillId="0" borderId="24" xfId="0" applyNumberFormat="1" applyFont="1" applyBorder="1" applyAlignment="1">
      <alignment horizontal="right"/>
    </xf>
    <xf numFmtId="165" fontId="16" fillId="0" borderId="30" xfId="0" applyNumberFormat="1" applyFont="1" applyBorder="1" applyAlignment="1">
      <alignment horizontal="right"/>
    </xf>
    <xf numFmtId="39" fontId="17" fillId="0" borderId="11" xfId="0" applyNumberFormat="1" applyFont="1" applyBorder="1" applyAlignment="1">
      <alignment horizontal="center"/>
    </xf>
    <xf numFmtId="6" fontId="16" fillId="0" borderId="0" xfId="66" applyNumberFormat="1" applyAlignment="1" applyProtection="1">
      <alignment horizontal="center"/>
      <protection locked="0"/>
    </xf>
    <xf numFmtId="40" fontId="16" fillId="0" borderId="24" xfId="0" applyNumberFormat="1" applyFont="1" applyBorder="1" applyAlignment="1">
      <alignment horizontal="right"/>
    </xf>
    <xf numFmtId="40" fontId="16" fillId="0" borderId="25" xfId="0" applyNumberFormat="1" applyFont="1" applyBorder="1" applyAlignment="1">
      <alignment horizontal="right"/>
    </xf>
    <xf numFmtId="175" fontId="17" fillId="0" borderId="14" xfId="66" applyFont="1" applyBorder="1" applyAlignment="1" applyProtection="1">
      <alignment horizontal="right"/>
      <protection locked="0"/>
    </xf>
    <xf numFmtId="175" fontId="17" fillId="0" borderId="14" xfId="66" quotePrefix="1" applyFont="1" applyBorder="1" applyAlignment="1" applyProtection="1">
      <alignment horizontal="right"/>
      <protection locked="0"/>
    </xf>
    <xf numFmtId="6" fontId="53" fillId="0" borderId="0" xfId="520" applyNumberFormat="1" applyFont="1"/>
    <xf numFmtId="175" fontId="71" fillId="47" borderId="0" xfId="66" applyFont="1" applyFill="1" applyProtection="1">
      <protection locked="0"/>
    </xf>
    <xf numFmtId="0" fontId="53" fillId="0" borderId="0" xfId="520" applyFont="1"/>
    <xf numFmtId="0" fontId="16" fillId="0" borderId="0" xfId="522"/>
    <xf numFmtId="0" fontId="53" fillId="47" borderId="0" xfId="520" applyFont="1" applyFill="1"/>
    <xf numFmtId="168" fontId="53" fillId="0" borderId="0" xfId="520" applyNumberFormat="1" applyFont="1"/>
    <xf numFmtId="4" fontId="16" fillId="0" borderId="30" xfId="0" applyNumberFormat="1" applyFont="1" applyBorder="1" applyAlignment="1">
      <alignment horizontal="right"/>
    </xf>
    <xf numFmtId="175" fontId="37" fillId="0" borderId="0" xfId="67" applyFont="1"/>
    <xf numFmtId="3" fontId="56" fillId="47" borderId="21" xfId="0" applyNumberFormat="1" applyFont="1" applyFill="1" applyBorder="1" applyAlignment="1">
      <alignment horizontal="center"/>
    </xf>
    <xf numFmtId="175" fontId="16" fillId="47" borderId="17" xfId="0" applyFont="1" applyFill="1" applyBorder="1" applyProtection="1">
      <protection locked="0"/>
    </xf>
    <xf numFmtId="175" fontId="16" fillId="47" borderId="13" xfId="0" applyFont="1" applyFill="1" applyBorder="1" applyProtection="1">
      <protection locked="0"/>
    </xf>
    <xf numFmtId="175" fontId="17" fillId="0" borderId="34" xfId="0" applyFont="1" applyBorder="1" applyAlignment="1">
      <alignment horizontal="center"/>
    </xf>
    <xf numFmtId="3" fontId="16" fillId="0" borderId="11" xfId="0" applyNumberFormat="1" applyFont="1" applyBorder="1" applyAlignment="1">
      <alignment horizontal="left" vertical="center" wrapText="1"/>
    </xf>
    <xf numFmtId="175" fontId="37" fillId="0" borderId="11" xfId="0" applyFont="1" applyBorder="1" applyAlignment="1" applyProtection="1">
      <alignment horizontal="left"/>
      <protection locked="0"/>
    </xf>
    <xf numFmtId="175" fontId="37" fillId="47" borderId="11" xfId="0" applyFont="1" applyFill="1" applyBorder="1" applyAlignment="1" applyProtection="1">
      <alignment horizontal="left"/>
      <protection locked="0"/>
    </xf>
    <xf numFmtId="44" fontId="69" fillId="0" borderId="0" xfId="50" applyFont="1"/>
    <xf numFmtId="0" fontId="76" fillId="0" borderId="0" xfId="520" applyFont="1"/>
    <xf numFmtId="0" fontId="76" fillId="0" borderId="27" xfId="520" applyFont="1" applyBorder="1" applyAlignment="1">
      <alignment horizontal="center" vertical="center"/>
    </xf>
    <xf numFmtId="0" fontId="77" fillId="0" borderId="14" xfId="520" applyFont="1" applyBorder="1" applyAlignment="1">
      <alignment horizontal="center" vertical="center" wrapText="1"/>
    </xf>
    <xf numFmtId="6" fontId="76" fillId="0" borderId="0" xfId="520" applyNumberFormat="1" applyFont="1"/>
    <xf numFmtId="6" fontId="76" fillId="0" borderId="14" xfId="520" applyNumberFormat="1" applyFont="1" applyBorder="1"/>
    <xf numFmtId="0" fontId="76" fillId="46" borderId="0" xfId="520" applyFont="1" applyFill="1"/>
    <xf numFmtId="0" fontId="79" fillId="0" borderId="0" xfId="520" applyFont="1"/>
    <xf numFmtId="6" fontId="77" fillId="0" borderId="0" xfId="520" applyNumberFormat="1" applyFont="1"/>
    <xf numFmtId="165" fontId="18" fillId="47" borderId="0" xfId="0" applyNumberFormat="1" applyFont="1" applyFill="1" applyProtection="1">
      <protection locked="0"/>
    </xf>
    <xf numFmtId="6" fontId="76" fillId="0" borderId="41" xfId="520" applyNumberFormat="1" applyFont="1" applyBorder="1"/>
    <xf numFmtId="6" fontId="76" fillId="0" borderId="16" xfId="520" applyNumberFormat="1" applyFont="1" applyBorder="1"/>
    <xf numFmtId="0" fontId="76" fillId="0" borderId="17" xfId="520" applyFont="1" applyBorder="1"/>
    <xf numFmtId="0" fontId="77" fillId="0" borderId="22" xfId="520" applyFont="1" applyBorder="1"/>
    <xf numFmtId="175" fontId="16" fillId="0" borderId="55" xfId="66" applyBorder="1" applyProtection="1">
      <protection locked="0"/>
    </xf>
    <xf numFmtId="175" fontId="16" fillId="0" borderId="56" xfId="66" applyBorder="1" applyProtection="1">
      <protection locked="0"/>
    </xf>
    <xf numFmtId="175" fontId="16" fillId="0" borderId="57" xfId="66" applyBorder="1" applyProtection="1">
      <protection locked="0"/>
    </xf>
    <xf numFmtId="175" fontId="18" fillId="0" borderId="20" xfId="0" applyFont="1" applyBorder="1" applyAlignment="1" applyProtection="1">
      <alignment horizontal="left"/>
      <protection locked="0"/>
    </xf>
    <xf numFmtId="175" fontId="37" fillId="0" borderId="15" xfId="0" applyFont="1" applyBorder="1" applyAlignment="1" applyProtection="1">
      <alignment horizontal="center" wrapText="1"/>
      <protection locked="0"/>
    </xf>
    <xf numFmtId="166" fontId="18" fillId="0" borderId="11" xfId="46" applyNumberFormat="1" applyFont="1" applyBorder="1" applyAlignment="1" applyProtection="1">
      <alignment horizontal="right"/>
      <protection locked="0"/>
    </xf>
    <xf numFmtId="175" fontId="17" fillId="0" borderId="58" xfId="66" applyFont="1" applyBorder="1" applyProtection="1">
      <protection locked="0"/>
    </xf>
    <xf numFmtId="175" fontId="17" fillId="0" borderId="34" xfId="66" applyFont="1" applyBorder="1" applyProtection="1">
      <protection locked="0"/>
    </xf>
    <xf numFmtId="175" fontId="19" fillId="0" borderId="17" xfId="66" applyFont="1" applyBorder="1" applyAlignment="1">
      <alignment wrapText="1"/>
    </xf>
    <xf numFmtId="175" fontId="16" fillId="0" borderId="17" xfId="66" applyBorder="1" applyAlignment="1">
      <alignment horizontal="left" indent="1"/>
    </xf>
    <xf numFmtId="175" fontId="16" fillId="47" borderId="17" xfId="66" applyFill="1" applyBorder="1" applyAlignment="1">
      <alignment horizontal="left" indent="1"/>
    </xf>
    <xf numFmtId="175" fontId="17" fillId="0" borderId="20" xfId="66" applyFont="1" applyBorder="1"/>
    <xf numFmtId="175" fontId="17" fillId="0" borderId="17" xfId="66" applyFont="1" applyBorder="1"/>
    <xf numFmtId="175" fontId="16" fillId="0" borderId="17" xfId="66" quotePrefix="1" applyBorder="1" applyAlignment="1">
      <alignment horizontal="left" indent="1"/>
    </xf>
    <xf numFmtId="175" fontId="17" fillId="0" borderId="20" xfId="66" applyFont="1" applyBorder="1" applyAlignment="1">
      <alignment wrapText="1"/>
    </xf>
    <xf numFmtId="175" fontId="17" fillId="0" borderId="22" xfId="66" applyFont="1" applyBorder="1" applyAlignment="1" applyProtection="1">
      <alignment wrapText="1"/>
      <protection locked="0"/>
    </xf>
    <xf numFmtId="0" fontId="78" fillId="49" borderId="18" xfId="520" applyFont="1" applyFill="1" applyBorder="1"/>
    <xf numFmtId="175" fontId="68" fillId="47" borderId="40" xfId="66" applyFont="1" applyFill="1" applyBorder="1" applyAlignment="1">
      <alignment horizontal="center"/>
    </xf>
    <xf numFmtId="175" fontId="69" fillId="0" borderId="40" xfId="66" applyFont="1" applyBorder="1"/>
    <xf numFmtId="175" fontId="69" fillId="47" borderId="40" xfId="66" applyFont="1" applyFill="1" applyBorder="1"/>
    <xf numFmtId="175" fontId="16" fillId="47" borderId="13" xfId="66" applyFill="1" applyBorder="1" applyProtection="1">
      <protection locked="0"/>
    </xf>
    <xf numFmtId="6" fontId="76" fillId="0" borderId="13" xfId="520" applyNumberFormat="1" applyFont="1" applyBorder="1"/>
    <xf numFmtId="175" fontId="64" fillId="0" borderId="0" xfId="66" applyFont="1" applyProtection="1">
      <protection locked="0"/>
    </xf>
    <xf numFmtId="175" fontId="16" fillId="0" borderId="17" xfId="66" applyBorder="1"/>
    <xf numFmtId="175" fontId="16" fillId="47" borderId="17" xfId="0" applyFont="1" applyFill="1" applyBorder="1" applyAlignment="1">
      <alignment horizontal="left"/>
    </xf>
    <xf numFmtId="175" fontId="68" fillId="0" borderId="52" xfId="66" applyFont="1" applyBorder="1"/>
    <xf numFmtId="175" fontId="17" fillId="0" borderId="54" xfId="66" applyFont="1" applyBorder="1" applyAlignment="1">
      <alignment horizontal="center"/>
    </xf>
    <xf numFmtId="175" fontId="17" fillId="0" borderId="54" xfId="66" applyFont="1" applyBorder="1" applyAlignment="1">
      <alignment horizontal="left"/>
    </xf>
    <xf numFmtId="175" fontId="16" fillId="0" borderId="54" xfId="66" applyBorder="1"/>
    <xf numFmtId="175" fontId="17" fillId="0" borderId="54" xfId="66" applyFont="1" applyBorder="1"/>
    <xf numFmtId="175" fontId="17" fillId="0" borderId="54" xfId="66" applyFont="1" applyBorder="1" applyAlignment="1">
      <alignment horizontal="left" indent="1"/>
    </xf>
    <xf numFmtId="175" fontId="17" fillId="0" borderId="54" xfId="66" applyFont="1" applyBorder="1" applyAlignment="1">
      <alignment horizontal="center" wrapText="1"/>
    </xf>
    <xf numFmtId="175" fontId="17" fillId="0" borderId="61" xfId="66" applyFont="1" applyBorder="1" applyAlignment="1">
      <alignment wrapText="1"/>
    </xf>
    <xf numFmtId="175" fontId="65" fillId="0" borderId="0" xfId="66" applyFont="1" applyProtection="1">
      <protection locked="0"/>
    </xf>
    <xf numFmtId="43" fontId="16" fillId="50" borderId="27" xfId="46" quotePrefix="1" applyFill="1" applyBorder="1" applyAlignment="1">
      <alignment horizontal="left"/>
    </xf>
    <xf numFmtId="43" fontId="16" fillId="50" borderId="48" xfId="46" quotePrefix="1" applyFill="1" applyBorder="1" applyAlignment="1">
      <alignment horizontal="left"/>
    </xf>
    <xf numFmtId="43" fontId="16" fillId="50" borderId="0" xfId="46" quotePrefix="1" applyFill="1" applyAlignment="1">
      <alignment horizontal="left"/>
    </xf>
    <xf numFmtId="43" fontId="16" fillId="50" borderId="41" xfId="46" quotePrefix="1" applyFill="1" applyBorder="1" applyAlignment="1">
      <alignment horizontal="left"/>
    </xf>
    <xf numFmtId="43" fontId="16" fillId="50" borderId="14" xfId="46" quotePrefix="1" applyFill="1" applyBorder="1" applyAlignment="1">
      <alignment horizontal="left"/>
    </xf>
    <xf numFmtId="43" fontId="16" fillId="50" borderId="16" xfId="46" quotePrefix="1" applyFill="1" applyBorder="1" applyAlignment="1">
      <alignment horizontal="left"/>
    </xf>
    <xf numFmtId="43" fontId="16" fillId="50" borderId="0" xfId="46" quotePrefix="1" applyFill="1" applyAlignment="1">
      <alignment horizontal="center"/>
    </xf>
    <xf numFmtId="3" fontId="17" fillId="47" borderId="18" xfId="0" applyNumberFormat="1" applyFont="1" applyFill="1" applyBorder="1" applyAlignment="1">
      <alignment horizontal="center" wrapText="1"/>
    </xf>
    <xf numFmtId="175" fontId="17" fillId="47" borderId="26" xfId="0" applyFont="1" applyFill="1" applyBorder="1" applyAlignment="1">
      <alignment horizontal="center"/>
    </xf>
    <xf numFmtId="175" fontId="83" fillId="0" borderId="0" xfId="0" applyFont="1" applyAlignment="1" applyProtection="1">
      <alignment vertical="center"/>
      <protection locked="0"/>
    </xf>
    <xf numFmtId="175" fontId="84" fillId="0" borderId="0" xfId="0" applyFont="1" applyAlignment="1" applyProtection="1">
      <alignment vertical="center"/>
      <protection locked="0"/>
    </xf>
    <xf numFmtId="175" fontId="37" fillId="47" borderId="0" xfId="0" applyFont="1" applyFill="1" applyProtection="1">
      <protection locked="0"/>
    </xf>
    <xf numFmtId="43" fontId="16" fillId="0" borderId="0" xfId="46" applyProtection="1">
      <protection locked="0"/>
    </xf>
    <xf numFmtId="2" fontId="18" fillId="0" borderId="0" xfId="0" applyNumberFormat="1" applyFont="1" applyProtection="1">
      <protection locked="0"/>
    </xf>
    <xf numFmtId="0" fontId="18" fillId="0" borderId="11" xfId="67" applyNumberFormat="1" applyBorder="1" applyAlignment="1">
      <alignment horizontal="center" vertical="center" wrapText="1"/>
    </xf>
    <xf numFmtId="6" fontId="18" fillId="0" borderId="11" xfId="67" applyNumberFormat="1" applyBorder="1" applyAlignment="1">
      <alignment horizontal="center" vertical="center" wrapText="1"/>
    </xf>
    <xf numFmtId="175" fontId="18" fillId="0" borderId="11" xfId="67" applyBorder="1" applyAlignment="1">
      <alignment horizontal="left" vertical="center" wrapText="1"/>
    </xf>
    <xf numFmtId="14" fontId="18" fillId="0" borderId="11" xfId="67" applyNumberFormat="1" applyBorder="1" applyAlignment="1">
      <alignment horizontal="center" vertical="center" wrapText="1"/>
    </xf>
    <xf numFmtId="175" fontId="37" fillId="0" borderId="0" xfId="67" applyFont="1" applyAlignment="1">
      <alignment horizontal="center" vertical="center"/>
    </xf>
    <xf numFmtId="0" fontId="18" fillId="0" borderId="11" xfId="67" applyNumberFormat="1" applyBorder="1" applyAlignment="1" applyProtection="1">
      <alignment horizontal="center" vertical="center"/>
      <protection locked="0"/>
    </xf>
    <xf numFmtId="6" fontId="18" fillId="0" borderId="11" xfId="67" applyNumberFormat="1" applyBorder="1" applyAlignment="1" applyProtection="1">
      <alignment horizontal="center" vertical="center"/>
      <protection locked="0"/>
    </xf>
    <xf numFmtId="175" fontId="18" fillId="0" borderId="0" xfId="67" applyAlignment="1" applyProtection="1">
      <alignment vertical="center"/>
      <protection locked="0"/>
    </xf>
    <xf numFmtId="175" fontId="18" fillId="0" borderId="11" xfId="67" applyBorder="1" applyAlignment="1">
      <alignment horizontal="center" vertical="center" wrapText="1"/>
    </xf>
    <xf numFmtId="175" fontId="18" fillId="0" borderId="11" xfId="67" applyBorder="1" applyAlignment="1" applyProtection="1">
      <alignment horizontal="center" vertical="center" wrapText="1"/>
      <protection locked="0"/>
    </xf>
    <xf numFmtId="175" fontId="18" fillId="0" borderId="0" xfId="0" applyFont="1" applyAlignment="1">
      <alignment horizontal="center"/>
    </xf>
    <xf numFmtId="172" fontId="16" fillId="0" borderId="0" xfId="0" applyNumberFormat="1" applyFont="1"/>
    <xf numFmtId="175" fontId="42" fillId="0" borderId="0" xfId="0" applyFont="1"/>
    <xf numFmtId="3" fontId="42" fillId="0" borderId="0" xfId="0" applyNumberFormat="1" applyFont="1"/>
    <xf numFmtId="175" fontId="18" fillId="47" borderId="0" xfId="0" applyFont="1" applyFill="1" applyAlignment="1">
      <alignment horizontal="center"/>
    </xf>
    <xf numFmtId="0" fontId="16" fillId="0" borderId="0" xfId="66" applyNumberFormat="1"/>
    <xf numFmtId="175" fontId="16" fillId="47" borderId="0" xfId="66" applyFont="1" applyFill="1" applyAlignment="1" applyProtection="1">
      <alignment horizontal="center"/>
      <protection locked="0"/>
    </xf>
    <xf numFmtId="175" fontId="16" fillId="47" borderId="0" xfId="66" applyFont="1" applyFill="1" applyProtection="1">
      <protection locked="0"/>
    </xf>
    <xf numFmtId="171" fontId="16" fillId="47" borderId="0" xfId="66" applyNumberFormat="1" applyFont="1" applyFill="1" applyAlignment="1" applyProtection="1">
      <alignment horizontal="center"/>
      <protection locked="0"/>
    </xf>
    <xf numFmtId="175" fontId="16" fillId="0" borderId="0" xfId="66" applyBorder="1"/>
    <xf numFmtId="175" fontId="17" fillId="44" borderId="53" xfId="66" applyFont="1" applyFill="1" applyBorder="1" applyAlignment="1">
      <alignment horizontal="center"/>
    </xf>
    <xf numFmtId="175" fontId="17" fillId="0" borderId="53" xfId="0" applyFont="1" applyBorder="1" applyAlignment="1">
      <alignment wrapText="1"/>
    </xf>
    <xf numFmtId="175" fontId="17" fillId="0" borderId="60" xfId="66" applyFont="1" applyBorder="1" applyAlignment="1">
      <alignment horizontal="left"/>
    </xf>
    <xf numFmtId="175" fontId="17" fillId="0" borderId="20" xfId="66" applyFont="1" applyBorder="1" applyAlignment="1" applyProtection="1">
      <alignment horizontal="center"/>
      <protection locked="0"/>
    </xf>
    <xf numFmtId="6" fontId="76" fillId="0" borderId="0" xfId="520" applyNumberFormat="1" applyFont="1" applyBorder="1"/>
    <xf numFmtId="0" fontId="76" fillId="0" borderId="0" xfId="520" applyFont="1" applyBorder="1"/>
    <xf numFmtId="0" fontId="77" fillId="0" borderId="21" xfId="520" applyFont="1" applyBorder="1"/>
    <xf numFmtId="164" fontId="69" fillId="0" borderId="27" xfId="66" applyNumberFormat="1" applyFont="1" applyBorder="1"/>
    <xf numFmtId="175" fontId="81" fillId="0" borderId="0" xfId="0" quotePrefix="1" applyFont="1" applyAlignment="1">
      <alignment vertical="center"/>
    </xf>
    <xf numFmtId="175" fontId="81" fillId="0" borderId="0" xfId="0" quotePrefix="1" applyFont="1" applyProtection="1">
      <protection locked="0"/>
    </xf>
    <xf numFmtId="175" fontId="85" fillId="47" borderId="0" xfId="0" quotePrefix="1" applyFont="1" applyFill="1" applyProtection="1">
      <protection locked="0"/>
    </xf>
    <xf numFmtId="175" fontId="17" fillId="0" borderId="20" xfId="66" applyFont="1" applyBorder="1" applyAlignment="1" applyProtection="1">
      <alignment horizontal="right"/>
      <protection locked="0"/>
    </xf>
    <xf numFmtId="6" fontId="16" fillId="0" borderId="22" xfId="66" applyNumberFormat="1" applyBorder="1" applyAlignment="1">
      <alignment horizontal="right"/>
    </xf>
    <xf numFmtId="0" fontId="17" fillId="0" borderId="0" xfId="522" applyFont="1" applyAlignment="1" applyProtection="1">
      <alignment horizontal="center"/>
      <protection locked="0"/>
    </xf>
    <xf numFmtId="17" fontId="17" fillId="47" borderId="0" xfId="522" quotePrefix="1" applyNumberFormat="1" applyFont="1" applyFill="1" applyAlignment="1" applyProtection="1">
      <alignment horizontal="center"/>
      <protection locked="0"/>
    </xf>
    <xf numFmtId="0" fontId="57" fillId="49" borderId="18" xfId="520" applyFont="1" applyFill="1" applyBorder="1"/>
    <xf numFmtId="0" fontId="17" fillId="0" borderId="18" xfId="520" applyFont="1" applyBorder="1" applyAlignment="1">
      <alignment horizontal="center"/>
    </xf>
    <xf numFmtId="0" fontId="17" fillId="0" borderId="14" xfId="520" applyFont="1" applyBorder="1" applyAlignment="1">
      <alignment horizontal="center"/>
    </xf>
    <xf numFmtId="0" fontId="17" fillId="0" borderId="21" xfId="520" applyFont="1" applyBorder="1" applyAlignment="1">
      <alignment wrapText="1"/>
    </xf>
    <xf numFmtId="0" fontId="16" fillId="0" borderId="17" xfId="520" applyFont="1" applyBorder="1" applyAlignment="1">
      <alignment horizontal="left" indent="2"/>
    </xf>
    <xf numFmtId="0" fontId="16" fillId="0" borderId="17" xfId="520" applyFont="1" applyBorder="1" applyAlignment="1">
      <alignment horizontal="left" wrapText="1" indent="2"/>
    </xf>
    <xf numFmtId="0" fontId="16" fillId="47" borderId="17" xfId="520" applyFont="1" applyFill="1" applyBorder="1" applyAlignment="1">
      <alignment horizontal="left" wrapText="1" indent="2"/>
    </xf>
    <xf numFmtId="0" fontId="88" fillId="0" borderId="17" xfId="520" applyFont="1" applyBorder="1"/>
    <xf numFmtId="0" fontId="57" fillId="49" borderId="20" xfId="520" applyFont="1" applyFill="1" applyBorder="1"/>
    <xf numFmtId="0" fontId="57" fillId="0" borderId="21" xfId="520" applyFont="1" applyBorder="1"/>
    <xf numFmtId="3" fontId="48" fillId="0" borderId="17" xfId="0" applyNumberFormat="1" applyFont="1" applyFill="1" applyBorder="1" applyAlignment="1" applyProtection="1">
      <alignment horizontal="center"/>
      <protection locked="0"/>
    </xf>
    <xf numFmtId="175" fontId="17" fillId="47" borderId="0" xfId="0" applyFont="1" applyFill="1" applyAlignment="1" applyProtection="1">
      <alignment wrapText="1"/>
      <protection locked="0"/>
    </xf>
    <xf numFmtId="175" fontId="17" fillId="0" borderId="11" xfId="0" applyFont="1" applyBorder="1" applyAlignment="1">
      <alignment horizontal="center"/>
    </xf>
    <xf numFmtId="175" fontId="0" fillId="0" borderId="48" xfId="0" applyBorder="1"/>
    <xf numFmtId="2" fontId="42" fillId="0" borderId="0" xfId="0" applyNumberFormat="1" applyFont="1" applyProtection="1">
      <protection locked="0"/>
    </xf>
    <xf numFmtId="175" fontId="16" fillId="0" borderId="0" xfId="0" applyFont="1" applyFill="1" applyBorder="1"/>
    <xf numFmtId="175" fontId="16" fillId="0" borderId="0" xfId="0" applyFont="1" applyFill="1" applyBorder="1" applyProtection="1">
      <protection locked="0"/>
    </xf>
    <xf numFmtId="2" fontId="16" fillId="0" borderId="0" xfId="0" applyNumberFormat="1" applyFont="1" applyFill="1" applyBorder="1" applyProtection="1">
      <protection locked="0"/>
    </xf>
    <xf numFmtId="1" fontId="16" fillId="0" borderId="0" xfId="0" applyNumberFormat="1" applyFont="1" applyFill="1" applyBorder="1" applyProtection="1">
      <protection locked="0"/>
    </xf>
    <xf numFmtId="1" fontId="16" fillId="0" borderId="67" xfId="0" applyNumberFormat="1" applyFont="1" applyFill="1" applyBorder="1" applyProtection="1">
      <protection locked="0"/>
    </xf>
    <xf numFmtId="175" fontId="16" fillId="0" borderId="0" xfId="0" applyFont="1" applyAlignment="1" applyProtection="1">
      <alignment vertical="top"/>
      <protection locked="0"/>
    </xf>
    <xf numFmtId="175" fontId="16" fillId="0" borderId="0" xfId="0" applyFont="1" applyFill="1" applyAlignment="1" applyProtection="1">
      <alignment vertical="top"/>
      <protection locked="0"/>
    </xf>
    <xf numFmtId="175" fontId="89" fillId="0" borderId="0" xfId="0" applyFont="1" applyFill="1" applyBorder="1" applyAlignment="1">
      <alignment horizontal="center" vertical="top"/>
    </xf>
    <xf numFmtId="175" fontId="89" fillId="0" borderId="66" xfId="0" applyFont="1" applyFill="1" applyBorder="1" applyAlignment="1">
      <alignment horizontal="center" vertical="top"/>
    </xf>
    <xf numFmtId="43" fontId="89" fillId="0" borderId="18" xfId="0" applyNumberFormat="1" applyFont="1" applyFill="1" applyBorder="1" applyAlignment="1" applyProtection="1">
      <alignment horizontal="center" vertical="top" wrapText="1"/>
      <protection locked="0"/>
    </xf>
    <xf numFmtId="43" fontId="89" fillId="0" borderId="11" xfId="0" applyNumberFormat="1" applyFont="1" applyFill="1" applyBorder="1" applyAlignment="1" applyProtection="1">
      <alignment horizontal="center" vertical="top" wrapText="1"/>
      <protection locked="0"/>
    </xf>
    <xf numFmtId="1" fontId="59" fillId="0" borderId="67" xfId="0" applyNumberFormat="1" applyFont="1" applyFill="1" applyBorder="1"/>
    <xf numFmtId="175" fontId="59" fillId="0" borderId="68" xfId="0" applyFont="1" applyFill="1" applyBorder="1"/>
    <xf numFmtId="175" fontId="59" fillId="0" borderId="68" xfId="0" applyFont="1" applyFill="1" applyBorder="1" applyProtection="1">
      <protection locked="0"/>
    </xf>
    <xf numFmtId="176" fontId="16" fillId="0" borderId="0" xfId="0" applyNumberFormat="1" applyFont="1" applyFill="1" applyBorder="1" applyProtection="1">
      <protection locked="0"/>
    </xf>
    <xf numFmtId="0" fontId="16" fillId="0" borderId="0" xfId="0" applyNumberFormat="1" applyFont="1" applyFill="1" applyAlignment="1" applyProtection="1">
      <alignment vertical="top"/>
      <protection locked="0"/>
    </xf>
    <xf numFmtId="0" fontId="4" fillId="0" borderId="0" xfId="888"/>
    <xf numFmtId="0" fontId="17" fillId="0" borderId="14" xfId="520" quotePrefix="1" applyNumberFormat="1" applyFont="1" applyBorder="1" applyAlignment="1">
      <alignment horizontal="center"/>
    </xf>
    <xf numFmtId="1" fontId="16" fillId="0" borderId="0" xfId="0" applyNumberFormat="1" applyFont="1" applyProtection="1">
      <protection locked="0"/>
    </xf>
    <xf numFmtId="175" fontId="69" fillId="47" borderId="40" xfId="0" applyFont="1" applyFill="1" applyBorder="1"/>
    <xf numFmtId="175" fontId="69" fillId="0" borderId="0" xfId="0" applyFont="1" applyFill="1" applyBorder="1" applyAlignment="1">
      <alignment horizontal="left"/>
    </xf>
    <xf numFmtId="175" fontId="68" fillId="0" borderId="70" xfId="66" applyFont="1" applyBorder="1" applyAlignment="1">
      <alignment horizontal="left" wrapText="1" indent="1"/>
    </xf>
    <xf numFmtId="175" fontId="46" fillId="0" borderId="0" xfId="66" applyFont="1" applyFill="1"/>
    <xf numFmtId="3" fontId="16" fillId="47" borderId="41" xfId="0" applyNumberFormat="1" applyFont="1" applyFill="1" applyBorder="1" applyAlignment="1" applyProtection="1">
      <alignment wrapText="1"/>
      <protection locked="0"/>
    </xf>
    <xf numFmtId="165" fontId="16" fillId="47" borderId="0" xfId="0" applyNumberFormat="1" applyFont="1" applyFill="1" applyProtection="1">
      <protection locked="0"/>
    </xf>
    <xf numFmtId="172" fontId="18" fillId="47" borderId="11" xfId="46" applyNumberFormat="1" applyFont="1" applyFill="1" applyBorder="1" applyAlignment="1">
      <alignment horizontal="right"/>
    </xf>
    <xf numFmtId="3" fontId="16" fillId="0" borderId="71" xfId="0" applyNumberFormat="1" applyFont="1" applyBorder="1" applyAlignment="1">
      <alignment horizontal="left" vertical="center" wrapText="1"/>
    </xf>
    <xf numFmtId="175" fontId="0" fillId="0" borderId="0" xfId="0" applyBorder="1"/>
    <xf numFmtId="175" fontId="71" fillId="0" borderId="0" xfId="66" applyFont="1" applyAlignment="1">
      <alignment wrapText="1"/>
    </xf>
    <xf numFmtId="164" fontId="17" fillId="0" borderId="0" xfId="66" applyNumberFormat="1" applyFont="1" applyBorder="1"/>
    <xf numFmtId="175" fontId="71" fillId="0" borderId="0" xfId="66" applyFont="1" applyBorder="1" applyAlignment="1">
      <alignment wrapText="1"/>
    </xf>
    <xf numFmtId="3" fontId="16" fillId="0" borderId="0" xfId="0" applyNumberFormat="1" applyFont="1" applyBorder="1" applyAlignment="1">
      <alignment horizontal="left" vertical="center" wrapText="1"/>
    </xf>
    <xf numFmtId="175" fontId="37" fillId="0" borderId="13" xfId="0" applyFont="1" applyBorder="1" applyAlignment="1">
      <alignment horizontal="center" wrapText="1"/>
    </xf>
    <xf numFmtId="175" fontId="37" fillId="0" borderId="15" xfId="0" applyFont="1" applyBorder="1" applyAlignment="1">
      <alignment horizontal="center" wrapText="1"/>
    </xf>
    <xf numFmtId="175" fontId="17" fillId="0" borderId="11" xfId="0" quotePrefix="1" applyFont="1" applyBorder="1" applyAlignment="1">
      <alignment horizontal="center"/>
    </xf>
    <xf numFmtId="175" fontId="16" fillId="0" borderId="11" xfId="0" applyFont="1" applyBorder="1" applyAlignment="1">
      <alignment vertical="center"/>
    </xf>
    <xf numFmtId="2" fontId="16" fillId="0" borderId="19" xfId="0" applyNumberFormat="1" applyFont="1" applyBorder="1" applyAlignment="1">
      <alignment vertical="center"/>
    </xf>
    <xf numFmtId="3" fontId="16" fillId="52" borderId="19" xfId="0" applyNumberFormat="1" applyFont="1" applyFill="1" applyBorder="1" applyAlignment="1">
      <alignment horizontal="center" vertical="center"/>
    </xf>
    <xf numFmtId="175" fontId="16" fillId="0" borderId="34" xfId="0" applyFont="1" applyBorder="1" applyAlignment="1">
      <alignment vertical="center"/>
    </xf>
    <xf numFmtId="2" fontId="16" fillId="0" borderId="16" xfId="0" applyNumberFormat="1" applyFont="1" applyBorder="1" applyAlignment="1">
      <alignment vertical="center"/>
    </xf>
    <xf numFmtId="3" fontId="16" fillId="52" borderId="16" xfId="0" applyNumberFormat="1" applyFont="1" applyFill="1" applyBorder="1" applyAlignment="1">
      <alignment horizontal="center" vertical="center"/>
    </xf>
    <xf numFmtId="3" fontId="16" fillId="0" borderId="16" xfId="0" applyNumberFormat="1" applyFont="1" applyBorder="1" applyAlignment="1">
      <alignment horizontal="center" vertical="center"/>
    </xf>
    <xf numFmtId="2" fontId="16" fillId="52" borderId="16" xfId="0" applyNumberFormat="1" applyFont="1" applyFill="1" applyBorder="1" applyAlignment="1">
      <alignment vertical="center"/>
    </xf>
    <xf numFmtId="3" fontId="16" fillId="0" borderId="19" xfId="0" applyNumberFormat="1" applyFont="1" applyBorder="1" applyAlignment="1">
      <alignment horizontal="center" vertical="center"/>
    </xf>
    <xf numFmtId="2" fontId="16" fillId="0" borderId="41" xfId="0" applyNumberFormat="1" applyFont="1" applyBorder="1" applyAlignment="1">
      <alignment vertical="center"/>
    </xf>
    <xf numFmtId="175" fontId="16" fillId="0" borderId="0" xfId="0" applyFont="1" applyBorder="1" applyAlignment="1"/>
    <xf numFmtId="175" fontId="18" fillId="47" borderId="11" xfId="0" applyFont="1" applyFill="1" applyBorder="1" applyAlignment="1" applyProtection="1">
      <alignment horizontal="left"/>
      <protection locked="0"/>
    </xf>
    <xf numFmtId="175" fontId="72" fillId="0" borderId="0" xfId="67" applyFont="1" applyProtection="1">
      <protection locked="0"/>
    </xf>
    <xf numFmtId="175" fontId="72" fillId="0" borderId="0" xfId="67" quotePrefix="1" applyFont="1" applyProtection="1">
      <protection locked="0"/>
    </xf>
    <xf numFmtId="175" fontId="73" fillId="0" borderId="0" xfId="0" applyFont="1" applyAlignment="1">
      <alignment vertical="center"/>
    </xf>
    <xf numFmtId="175" fontId="71" fillId="47" borderId="0" xfId="782" applyFont="1" applyFill="1" applyAlignment="1">
      <alignment vertical="center"/>
    </xf>
    <xf numFmtId="175" fontId="64" fillId="0" borderId="0" xfId="66" applyFont="1"/>
    <xf numFmtId="175" fontId="64" fillId="0" borderId="0" xfId="0" applyFont="1" applyAlignment="1">
      <alignment vertical="center"/>
    </xf>
    <xf numFmtId="0" fontId="73" fillId="0" borderId="0" xfId="520" applyFont="1"/>
    <xf numFmtId="175" fontId="16" fillId="0" borderId="0" xfId="66" applyBorder="1" applyAlignment="1">
      <alignment horizontal="center"/>
    </xf>
    <xf numFmtId="175" fontId="68" fillId="43" borderId="18" xfId="66" applyFont="1" applyFill="1" applyBorder="1" applyAlignment="1">
      <alignment horizontal="right"/>
    </xf>
    <xf numFmtId="44" fontId="68" fillId="43" borderId="18" xfId="50" applyFont="1" applyFill="1" applyBorder="1" applyAlignment="1">
      <alignment horizontal="right"/>
    </xf>
    <xf numFmtId="175" fontId="16" fillId="0" borderId="0" xfId="0" applyFont="1" applyBorder="1" applyAlignment="1">
      <alignment vertical="center"/>
    </xf>
    <xf numFmtId="2" fontId="16" fillId="0" borderId="0" xfId="0" applyNumberFormat="1" applyFont="1" applyBorder="1" applyAlignment="1">
      <alignment vertical="center"/>
    </xf>
    <xf numFmtId="3" fontId="16" fillId="0" borderId="0" xfId="0" applyNumberFormat="1" applyFont="1" applyBorder="1" applyAlignment="1">
      <alignment horizontal="center" vertical="center"/>
    </xf>
    <xf numFmtId="3" fontId="16" fillId="52" borderId="0" xfId="0" applyNumberFormat="1" applyFont="1" applyFill="1" applyBorder="1" applyAlignment="1">
      <alignment horizontal="center" vertical="center"/>
    </xf>
    <xf numFmtId="175" fontId="64" fillId="43" borderId="0" xfId="66" applyFont="1" applyFill="1"/>
    <xf numFmtId="44" fontId="64" fillId="43" borderId="0" xfId="50" applyFont="1" applyFill="1"/>
    <xf numFmtId="44" fontId="69" fillId="47" borderId="0" xfId="50" applyFont="1" applyFill="1"/>
    <xf numFmtId="175" fontId="17" fillId="0" borderId="72" xfId="66" applyFont="1" applyBorder="1" applyAlignment="1">
      <alignment horizontal="center" wrapText="1"/>
    </xf>
    <xf numFmtId="175" fontId="16" fillId="0" borderId="59" xfId="66" applyBorder="1"/>
    <xf numFmtId="175" fontId="69" fillId="43" borderId="53" xfId="66" applyFont="1" applyFill="1" applyBorder="1"/>
    <xf numFmtId="175" fontId="64" fillId="0" borderId="0" xfId="0" quotePrefix="1" applyFont="1" applyBorder="1" applyAlignment="1"/>
    <xf numFmtId="175" fontId="37" fillId="0" borderId="11" xfId="0" applyFont="1" applyBorder="1" applyAlignment="1" applyProtection="1">
      <alignment horizontal="center"/>
      <protection locked="0"/>
    </xf>
    <xf numFmtId="175" fontId="37" fillId="0" borderId="11" xfId="0" applyFont="1" applyBorder="1" applyAlignment="1">
      <alignment horizontal="center"/>
    </xf>
    <xf numFmtId="42" fontId="16" fillId="0" borderId="0" xfId="520" applyNumberFormat="1" applyFont="1" applyBorder="1"/>
    <xf numFmtId="42" fontId="16" fillId="0" borderId="41" xfId="520" applyNumberFormat="1" applyBorder="1"/>
    <xf numFmtId="42" fontId="16" fillId="0" borderId="0" xfId="520" applyNumberFormat="1" applyFont="1"/>
    <xf numFmtId="42" fontId="16" fillId="0" borderId="41" xfId="520" applyNumberFormat="1" applyFont="1" applyBorder="1"/>
    <xf numFmtId="42" fontId="16" fillId="49" borderId="18" xfId="520" applyNumberFormat="1" applyFont="1" applyFill="1" applyBorder="1"/>
    <xf numFmtId="42" fontId="16" fillId="49" borderId="19" xfId="520" applyNumberFormat="1" applyFont="1" applyFill="1" applyBorder="1"/>
    <xf numFmtId="42" fontId="76" fillId="49" borderId="18" xfId="520" applyNumberFormat="1" applyFont="1" applyFill="1" applyBorder="1"/>
    <xf numFmtId="42" fontId="76" fillId="0" borderId="17" xfId="520" applyNumberFormat="1" applyFont="1" applyBorder="1"/>
    <xf numFmtId="42" fontId="76" fillId="0" borderId="0" xfId="520" applyNumberFormat="1" applyFont="1"/>
    <xf numFmtId="42" fontId="76" fillId="0" borderId="41" xfId="520" applyNumberFormat="1" applyFont="1" applyBorder="1"/>
    <xf numFmtId="42" fontId="76" fillId="0" borderId="0" xfId="520" applyNumberFormat="1" applyFont="1" applyBorder="1"/>
    <xf numFmtId="42" fontId="76" fillId="0" borderId="14" xfId="520" applyNumberFormat="1" applyFont="1" applyBorder="1"/>
    <xf numFmtId="42" fontId="76" fillId="0" borderId="16" xfId="520" applyNumberFormat="1" applyFont="1" applyBorder="1"/>
    <xf numFmtId="42" fontId="16" fillId="0" borderId="22" xfId="520" applyNumberFormat="1" applyFont="1" applyBorder="1"/>
    <xf numFmtId="42" fontId="16" fillId="0" borderId="48" xfId="520" applyNumberFormat="1" applyBorder="1"/>
    <xf numFmtId="42" fontId="16" fillId="0" borderId="17" xfId="520" applyNumberFormat="1" applyFont="1" applyBorder="1"/>
    <xf numFmtId="42" fontId="16" fillId="0" borderId="21" xfId="520" applyNumberFormat="1" applyFont="1" applyBorder="1"/>
    <xf numFmtId="42" fontId="16" fillId="0" borderId="16" xfId="520" applyNumberFormat="1" applyBorder="1"/>
    <xf numFmtId="42" fontId="16" fillId="49" borderId="21" xfId="520" applyNumberFormat="1" applyFont="1" applyFill="1" applyBorder="1"/>
    <xf numFmtId="42" fontId="16" fillId="49" borderId="14" xfId="520" applyNumberFormat="1" applyFont="1" applyFill="1" applyBorder="1"/>
    <xf numFmtId="42" fontId="76" fillId="49" borderId="19" xfId="520" applyNumberFormat="1" applyFont="1" applyFill="1" applyBorder="1"/>
    <xf numFmtId="42" fontId="76" fillId="0" borderId="22" xfId="520" applyNumberFormat="1" applyFont="1" applyBorder="1"/>
    <xf numFmtId="42" fontId="76" fillId="0" borderId="27" xfId="520" applyNumberFormat="1" applyFont="1" applyBorder="1"/>
    <xf numFmtId="42" fontId="76" fillId="45" borderId="0" xfId="520" applyNumberFormat="1" applyFont="1" applyFill="1"/>
    <xf numFmtId="42" fontId="76" fillId="0" borderId="48" xfId="520" applyNumberFormat="1" applyFont="1" applyBorder="1"/>
    <xf numFmtId="42" fontId="16" fillId="0" borderId="13" xfId="520" applyNumberFormat="1" applyBorder="1"/>
    <xf numFmtId="42" fontId="16" fillId="0" borderId="0" xfId="66" applyNumberFormat="1" applyProtection="1">
      <protection locked="0"/>
    </xf>
    <xf numFmtId="42" fontId="16" fillId="0" borderId="17" xfId="66" applyNumberFormat="1" applyBorder="1" applyAlignment="1" applyProtection="1">
      <alignment horizontal="center"/>
      <protection locked="0"/>
    </xf>
    <xf numFmtId="42" fontId="16"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7" fillId="47" borderId="11" xfId="66" applyFont="1" applyFill="1" applyBorder="1" applyAlignment="1">
      <alignment horizontal="center"/>
    </xf>
    <xf numFmtId="171" fontId="17" fillId="47" borderId="11" xfId="66" applyNumberFormat="1" applyFont="1" applyFill="1" applyBorder="1" applyAlignment="1">
      <alignment horizontal="center"/>
    </xf>
    <xf numFmtId="175" fontId="17" fillId="47" borderId="11" xfId="66" applyFont="1" applyFill="1" applyBorder="1" applyAlignment="1">
      <alignment horizontal="center" wrapText="1"/>
    </xf>
    <xf numFmtId="175" fontId="17" fillId="47" borderId="0" xfId="66" applyFont="1" applyFill="1" applyAlignment="1" applyProtection="1">
      <alignment horizontal="left"/>
      <protection locked="0"/>
    </xf>
    <xf numFmtId="0" fontId="6" fillId="0" borderId="0" xfId="597"/>
    <xf numFmtId="43" fontId="0" fillId="50" borderId="0" xfId="46" applyFont="1" applyFill="1" applyAlignment="1">
      <alignment horizontal="left"/>
    </xf>
    <xf numFmtId="175" fontId="128" fillId="0" borderId="0" xfId="66" applyFont="1" applyAlignment="1">
      <alignment wrapText="1"/>
    </xf>
    <xf numFmtId="175" fontId="72" fillId="47" borderId="0" xfId="0" quotePrefix="1" applyFont="1" applyFill="1" applyProtection="1">
      <protection locked="0"/>
    </xf>
    <xf numFmtId="175" fontId="129" fillId="52" borderId="0" xfId="0" applyFont="1" applyFill="1" applyBorder="1"/>
    <xf numFmtId="175" fontId="16" fillId="0" borderId="13" xfId="0" applyFont="1" applyBorder="1" applyAlignment="1">
      <alignment vertical="center"/>
    </xf>
    <xf numFmtId="2" fontId="16" fillId="0" borderId="97" xfId="0" applyNumberFormat="1" applyFont="1" applyBorder="1" applyAlignment="1">
      <alignment vertical="center"/>
    </xf>
    <xf numFmtId="3" fontId="16" fillId="52" borderId="41" xfId="0" applyNumberFormat="1" applyFont="1" applyFill="1" applyBorder="1" applyAlignment="1">
      <alignment horizontal="center" vertical="center"/>
    </xf>
    <xf numFmtId="3" fontId="16" fillId="0" borderId="98" xfId="0" applyNumberFormat="1" applyFont="1" applyBorder="1" applyAlignment="1">
      <alignment horizontal="left" vertical="center" wrapText="1"/>
    </xf>
    <xf numFmtId="2" fontId="16" fillId="0" borderId="11" xfId="0" applyNumberFormat="1" applyFont="1" applyBorder="1" applyAlignment="1">
      <alignment vertical="center"/>
    </xf>
    <xf numFmtId="3" fontId="16" fillId="52" borderId="11" xfId="0" applyNumberFormat="1" applyFont="1" applyFill="1" applyBorder="1" applyAlignment="1">
      <alignment horizontal="center" vertical="center"/>
    </xf>
    <xf numFmtId="175" fontId="16" fillId="0" borderId="0" xfId="0" applyFont="1" applyBorder="1"/>
    <xf numFmtId="175" fontId="64" fillId="0" borderId="0" xfId="0" quotePrefix="1" applyFont="1" applyBorder="1"/>
    <xf numFmtId="3" fontId="16" fillId="0" borderId="41" xfId="0" applyNumberFormat="1" applyFont="1" applyBorder="1" applyAlignment="1">
      <alignment horizontal="center" vertical="center"/>
    </xf>
    <xf numFmtId="3" fontId="16" fillId="0" borderId="99" xfId="0" applyNumberFormat="1" applyFont="1" applyBorder="1" applyAlignment="1">
      <alignment horizontal="left" vertical="center" wrapText="1"/>
    </xf>
    <xf numFmtId="3" fontId="16" fillId="0" borderId="11" xfId="0" applyNumberFormat="1" applyFont="1" applyBorder="1" applyAlignment="1">
      <alignment horizontal="center" vertical="center"/>
    </xf>
    <xf numFmtId="175" fontId="128" fillId="52" borderId="0" xfId="0" applyFont="1" applyFill="1" applyBorder="1" applyAlignment="1"/>
    <xf numFmtId="175" fontId="59" fillId="0" borderId="34" xfId="0" applyFont="1" applyBorder="1" applyAlignment="1">
      <alignment vertical="center"/>
    </xf>
    <xf numFmtId="2" fontId="59" fillId="0" borderId="16" xfId="0" applyNumberFormat="1" applyFont="1" applyBorder="1" applyAlignment="1">
      <alignment vertical="center"/>
    </xf>
    <xf numFmtId="2" fontId="59" fillId="0" borderId="100" xfId="0" applyNumberFormat="1" applyFont="1" applyBorder="1" applyAlignment="1">
      <alignment vertical="center"/>
    </xf>
    <xf numFmtId="175" fontId="131" fillId="0" borderId="0" xfId="66" applyFont="1" applyProtection="1">
      <protection locked="0"/>
    </xf>
    <xf numFmtId="0" fontId="132" fillId="0" borderId="0" xfId="520" applyFont="1"/>
    <xf numFmtId="6" fontId="132" fillId="0" borderId="0" xfId="520" applyNumberFormat="1" applyFont="1"/>
    <xf numFmtId="168" fontId="132" fillId="0" borderId="0" xfId="52" applyNumberFormat="1" applyFont="1"/>
    <xf numFmtId="175" fontId="16" fillId="0" borderId="0" xfId="66" applyFill="1" applyProtection="1">
      <protection locked="0"/>
    </xf>
    <xf numFmtId="175" fontId="16" fillId="0" borderId="37" xfId="66" applyFill="1" applyBorder="1" applyProtection="1">
      <protection locked="0"/>
    </xf>
    <xf numFmtId="175" fontId="16" fillId="0" borderId="18" xfId="66" applyFill="1" applyBorder="1" applyProtection="1">
      <protection locked="0"/>
    </xf>
    <xf numFmtId="175" fontId="17" fillId="0" borderId="11" xfId="66" applyFont="1" applyFill="1" applyBorder="1" applyAlignment="1" applyProtection="1">
      <alignment horizontal="center" wrapText="1"/>
      <protection locked="0"/>
    </xf>
    <xf numFmtId="175" fontId="17" fillId="0" borderId="13" xfId="66" applyFont="1" applyFill="1" applyBorder="1" applyAlignment="1" applyProtection="1">
      <alignment horizontal="center" wrapText="1"/>
      <protection locked="0"/>
    </xf>
    <xf numFmtId="42" fontId="16" fillId="0" borderId="0" xfId="66" applyNumberFormat="1" applyFill="1" applyProtection="1">
      <protection locked="0"/>
    </xf>
    <xf numFmtId="164" fontId="16" fillId="0" borderId="42" xfId="66" applyNumberFormat="1" applyFill="1" applyBorder="1" applyProtection="1">
      <protection locked="0"/>
    </xf>
    <xf numFmtId="0" fontId="64" fillId="0" borderId="0" xfId="66" applyNumberFormat="1" applyFont="1" applyAlignment="1">
      <alignment horizontal="left"/>
    </xf>
    <xf numFmtId="164" fontId="71" fillId="0" borderId="0" xfId="66" applyNumberFormat="1" applyFont="1"/>
    <xf numFmtId="175" fontId="64" fillId="47" borderId="0" xfId="66" applyFont="1" applyFill="1" applyAlignment="1">
      <alignment wrapText="1"/>
    </xf>
    <xf numFmtId="175" fontId="64" fillId="0" borderId="0" xfId="66" applyFont="1" applyAlignment="1">
      <alignment wrapText="1"/>
    </xf>
    <xf numFmtId="175" fontId="64" fillId="47" borderId="0" xfId="66" applyFont="1" applyFill="1" applyAlignment="1"/>
    <xf numFmtId="175" fontId="68" fillId="47" borderId="52" xfId="66" applyFont="1" applyFill="1" applyBorder="1" applyAlignment="1">
      <alignment wrapText="1"/>
    </xf>
    <xf numFmtId="175" fontId="17" fillId="47" borderId="61" xfId="66" applyFont="1" applyFill="1" applyBorder="1" applyAlignment="1">
      <alignment wrapText="1"/>
    </xf>
    <xf numFmtId="164" fontId="16" fillId="47" borderId="0" xfId="66" applyNumberFormat="1" applyFill="1"/>
    <xf numFmtId="175" fontId="68" fillId="43" borderId="96" xfId="66" applyFont="1" applyFill="1" applyBorder="1" applyAlignment="1">
      <alignment horizontal="right"/>
    </xf>
    <xf numFmtId="175" fontId="68" fillId="43" borderId="101" xfId="66" applyFont="1" applyFill="1" applyBorder="1" applyAlignment="1">
      <alignment horizontal="center" wrapText="1"/>
    </xf>
    <xf numFmtId="6" fontId="16" fillId="0" borderId="27" xfId="66" applyNumberFormat="1" applyBorder="1" applyProtection="1">
      <protection locked="0"/>
    </xf>
    <xf numFmtId="6" fontId="16" fillId="0" borderId="95" xfId="66" applyNumberFormat="1" applyBorder="1" applyProtection="1">
      <protection locked="0"/>
    </xf>
    <xf numFmtId="6" fontId="16" fillId="0" borderId="13" xfId="66" applyNumberFormat="1" applyBorder="1" applyAlignment="1">
      <alignment horizontal="right"/>
    </xf>
    <xf numFmtId="167" fontId="16" fillId="0" borderId="13" xfId="66" applyNumberFormat="1" applyBorder="1" applyAlignment="1">
      <alignment horizontal="right"/>
    </xf>
    <xf numFmtId="167" fontId="16" fillId="0" borderId="11" xfId="66" applyNumberFormat="1" applyBorder="1" applyAlignment="1">
      <alignment horizontal="right"/>
    </xf>
    <xf numFmtId="167" fontId="16" fillId="0" borderId="11" xfId="66" applyNumberFormat="1" applyBorder="1"/>
    <xf numFmtId="167" fontId="16" fillId="0" borderId="13" xfId="66" applyNumberFormat="1" applyBorder="1"/>
    <xf numFmtId="167" fontId="16" fillId="47" borderId="13" xfId="66" applyNumberFormat="1" applyFill="1" applyBorder="1" applyAlignment="1">
      <alignment horizontal="right"/>
    </xf>
    <xf numFmtId="42" fontId="16" fillId="49" borderId="11" xfId="520" applyNumberFormat="1" applyFont="1" applyFill="1" applyBorder="1"/>
    <xf numFmtId="42" fontId="16" fillId="0" borderId="15" xfId="520" applyNumberFormat="1" applyFont="1" applyBorder="1"/>
    <xf numFmtId="42" fontId="16" fillId="0" borderId="13" xfId="520" applyNumberFormat="1" applyFont="1" applyBorder="1"/>
    <xf numFmtId="42" fontId="16" fillId="0" borderId="13" xfId="520" applyNumberFormat="1" applyFill="1" applyBorder="1"/>
    <xf numFmtId="42" fontId="16" fillId="0" borderId="41" xfId="520" applyNumberFormat="1" applyFill="1" applyBorder="1"/>
    <xf numFmtId="42" fontId="16" fillId="0" borderId="0" xfId="520" applyNumberFormat="1" applyFont="1" applyFill="1"/>
    <xf numFmtId="42" fontId="16" fillId="0" borderId="41" xfId="520" applyNumberFormat="1" applyFont="1" applyFill="1" applyBorder="1"/>
    <xf numFmtId="42" fontId="16" fillId="0" borderId="15" xfId="520" applyNumberFormat="1" applyFill="1" applyBorder="1"/>
    <xf numFmtId="42" fontId="16" fillId="0" borderId="48" xfId="520" applyNumberFormat="1" applyFill="1" applyBorder="1"/>
    <xf numFmtId="42" fontId="76" fillId="0" borderId="0" xfId="520" applyNumberFormat="1" applyFont="1" applyFill="1"/>
    <xf numFmtId="42" fontId="77" fillId="0" borderId="0" xfId="520" applyNumberFormat="1" applyFont="1"/>
    <xf numFmtId="175" fontId="17" fillId="0" borderId="60" xfId="66" applyFont="1" applyBorder="1"/>
    <xf numFmtId="175" fontId="17" fillId="0" borderId="101" xfId="66" applyFont="1" applyBorder="1"/>
    <xf numFmtId="175" fontId="17" fillId="0" borderId="101" xfId="66" applyFont="1" applyBorder="1" applyAlignment="1">
      <alignment horizontal="left" wrapText="1" indent="1"/>
    </xf>
    <xf numFmtId="175" fontId="17" fillId="0" borderId="101" xfId="66" applyFont="1" applyBorder="1" applyAlignment="1">
      <alignment horizontal="left" indent="1"/>
    </xf>
    <xf numFmtId="175" fontId="17" fillId="0" borderId="103" xfId="66" applyFont="1" applyBorder="1" applyAlignment="1">
      <alignment horizontal="left" indent="1"/>
    </xf>
    <xf numFmtId="43" fontId="16" fillId="50" borderId="0" xfId="46" applyFill="1" applyAlignment="1">
      <alignment horizontal="left"/>
    </xf>
    <xf numFmtId="175" fontId="128" fillId="47" borderId="0" xfId="0" quotePrefix="1" applyFont="1" applyFill="1" applyAlignment="1">
      <alignment vertical="top" wrapText="1"/>
    </xf>
    <xf numFmtId="175" fontId="64" fillId="0" borderId="0" xfId="0" applyFont="1"/>
    <xf numFmtId="175" fontId="70" fillId="47" borderId="0" xfId="66" applyFont="1" applyFill="1" applyAlignment="1" applyProtection="1">
      <alignment vertical="center"/>
      <protection locked="0"/>
    </xf>
    <xf numFmtId="175" fontId="16" fillId="0" borderId="0" xfId="66" applyFont="1" applyProtection="1">
      <protection locked="0"/>
    </xf>
    <xf numFmtId="42" fontId="16" fillId="47" borderId="17" xfId="66" applyNumberFormat="1" applyFill="1" applyBorder="1" applyAlignment="1">
      <alignment horizontal="right"/>
    </xf>
    <xf numFmtId="41" fontId="16" fillId="0" borderId="0" xfId="66" applyNumberFormat="1" applyBorder="1" applyProtection="1">
      <protection locked="0"/>
    </xf>
    <xf numFmtId="177" fontId="16" fillId="0" borderId="0" xfId="66" applyNumberFormat="1" applyBorder="1" applyProtection="1">
      <protection locked="0"/>
    </xf>
    <xf numFmtId="178" fontId="69" fillId="0" borderId="17" xfId="66" applyNumberFormat="1" applyFont="1" applyBorder="1"/>
    <xf numFmtId="178" fontId="69" fillId="0" borderId="0" xfId="66" applyNumberFormat="1" applyFont="1" applyBorder="1"/>
    <xf numFmtId="178" fontId="68" fillId="43" borderId="14" xfId="66" applyNumberFormat="1" applyFont="1" applyFill="1" applyBorder="1" applyAlignment="1"/>
    <xf numFmtId="178" fontId="69" fillId="0" borderId="0" xfId="66" applyNumberFormat="1" applyFont="1" applyAlignment="1"/>
    <xf numFmtId="178" fontId="68" fillId="0" borderId="96" xfId="66" applyNumberFormat="1" applyFont="1" applyBorder="1" applyAlignment="1"/>
    <xf numFmtId="178" fontId="68" fillId="43" borderId="42" xfId="66" applyNumberFormat="1" applyFont="1" applyFill="1" applyBorder="1" applyAlignment="1"/>
    <xf numFmtId="178" fontId="69" fillId="0" borderId="54" xfId="66" applyNumberFormat="1" applyFont="1" applyFill="1" applyBorder="1"/>
    <xf numFmtId="178" fontId="16" fillId="0" borderId="0" xfId="66" applyNumberFormat="1" applyBorder="1" applyAlignment="1"/>
    <xf numFmtId="178" fontId="16" fillId="0" borderId="54" xfId="66" applyNumberFormat="1" applyBorder="1" applyAlignment="1"/>
    <xf numFmtId="178" fontId="16" fillId="0" borderId="96" xfId="66" applyNumberFormat="1" applyBorder="1" applyAlignment="1"/>
    <xf numFmtId="178" fontId="16" fillId="0" borderId="18" xfId="66" applyNumberFormat="1" applyBorder="1" applyAlignment="1"/>
    <xf numFmtId="178" fontId="16" fillId="0" borderId="39" xfId="66" applyNumberFormat="1" applyBorder="1" applyAlignment="1"/>
    <xf numFmtId="178" fontId="16" fillId="0" borderId="0" xfId="66" applyNumberFormat="1" applyAlignment="1"/>
    <xf numFmtId="178" fontId="16" fillId="0" borderId="0" xfId="66" applyNumberFormat="1" applyAlignment="1" applyProtection="1">
      <protection locked="0"/>
    </xf>
    <xf numFmtId="178" fontId="16" fillId="0" borderId="0" xfId="66" applyNumberFormat="1" applyBorder="1" applyAlignment="1" applyProtection="1">
      <protection locked="0"/>
    </xf>
    <xf numFmtId="178" fontId="16" fillId="0" borderId="27" xfId="66" applyNumberFormat="1" applyBorder="1" applyAlignment="1"/>
    <xf numFmtId="178" fontId="16" fillId="0" borderId="14" xfId="66" applyNumberFormat="1" applyBorder="1" applyAlignment="1" applyProtection="1">
      <protection locked="0"/>
    </xf>
    <xf numFmtId="178" fontId="16" fillId="0" borderId="102" xfId="66" applyNumberFormat="1" applyBorder="1" applyAlignment="1"/>
    <xf numFmtId="178" fontId="16" fillId="0" borderId="59" xfId="66" applyNumberFormat="1" applyBorder="1" applyAlignment="1"/>
    <xf numFmtId="178" fontId="16" fillId="44" borderId="96" xfId="66" applyNumberFormat="1" applyFill="1" applyBorder="1" applyAlignment="1"/>
    <xf numFmtId="178" fontId="16" fillId="44" borderId="18" xfId="66" applyNumberFormat="1" applyFill="1" applyBorder="1" applyAlignment="1"/>
    <xf numFmtId="178" fontId="16" fillId="44" borderId="39" xfId="66" applyNumberFormat="1" applyFill="1" applyBorder="1" applyAlignment="1"/>
    <xf numFmtId="178" fontId="17" fillId="0" borderId="46" xfId="66" applyNumberFormat="1" applyFont="1" applyBorder="1" applyAlignment="1"/>
    <xf numFmtId="178" fontId="17" fillId="0" borderId="61" xfId="66" applyNumberFormat="1" applyFont="1" applyBorder="1" applyAlignment="1"/>
    <xf numFmtId="178" fontId="17" fillId="47" borderId="46" xfId="66" applyNumberFormat="1" applyFont="1" applyFill="1" applyBorder="1" applyAlignment="1"/>
    <xf numFmtId="178" fontId="17" fillId="47" borderId="62" xfId="66" applyNumberFormat="1" applyFont="1" applyFill="1" applyBorder="1" applyAlignment="1"/>
    <xf numFmtId="178" fontId="17" fillId="47" borderId="61" xfId="66" applyNumberFormat="1" applyFont="1" applyFill="1" applyBorder="1" applyAlignment="1"/>
    <xf numFmtId="178" fontId="69" fillId="0" borderId="17" xfId="66" applyNumberFormat="1" applyFont="1" applyBorder="1" applyAlignment="1"/>
    <xf numFmtId="178" fontId="69" fillId="0" borderId="0" xfId="66" applyNumberFormat="1" applyFont="1" applyBorder="1" applyAlignment="1"/>
    <xf numFmtId="178" fontId="69" fillId="0" borderId="21" xfId="66" applyNumberFormat="1" applyFont="1" applyBorder="1" applyAlignment="1"/>
    <xf numFmtId="178" fontId="69" fillId="0" borderId="14" xfId="66" applyNumberFormat="1" applyFont="1" applyBorder="1" applyAlignment="1"/>
    <xf numFmtId="178" fontId="68" fillId="43" borderId="21" xfId="66" applyNumberFormat="1" applyFont="1" applyFill="1" applyBorder="1" applyAlignment="1"/>
    <xf numFmtId="178" fontId="69" fillId="0" borderId="54" xfId="66" applyNumberFormat="1" applyFont="1" applyFill="1" applyBorder="1" applyAlignment="1"/>
    <xf numFmtId="178" fontId="68" fillId="43" borderId="51" xfId="66" applyNumberFormat="1" applyFont="1" applyFill="1" applyBorder="1" applyAlignment="1"/>
    <xf numFmtId="178" fontId="68" fillId="47" borderId="51" xfId="66" applyNumberFormat="1" applyFont="1" applyFill="1" applyBorder="1" applyAlignment="1"/>
    <xf numFmtId="42" fontId="16" fillId="0" borderId="17" xfId="66" applyNumberFormat="1" applyBorder="1" applyAlignment="1"/>
    <xf numFmtId="42" fontId="16" fillId="0" borderId="13" xfId="66" applyNumberFormat="1" applyBorder="1" applyAlignment="1"/>
    <xf numFmtId="42" fontId="16" fillId="0" borderId="0" xfId="66" applyNumberFormat="1" applyFill="1" applyBorder="1" applyAlignment="1"/>
    <xf numFmtId="42" fontId="16" fillId="47" borderId="13" xfId="66" applyNumberFormat="1" applyFill="1" applyBorder="1" applyAlignment="1"/>
    <xf numFmtId="42" fontId="16" fillId="0" borderId="21" xfId="66" applyNumberFormat="1" applyBorder="1" applyAlignment="1"/>
    <xf numFmtId="42" fontId="16" fillId="0" borderId="14" xfId="66" applyNumberFormat="1" applyBorder="1" applyAlignment="1"/>
    <xf numFmtId="42" fontId="16" fillId="0" borderId="20" xfId="66" applyNumberFormat="1" applyBorder="1" applyAlignment="1"/>
    <xf numFmtId="42" fontId="16" fillId="0" borderId="18" xfId="66" applyNumberFormat="1" applyFill="1" applyBorder="1" applyAlignment="1"/>
    <xf numFmtId="42" fontId="16" fillId="47" borderId="11" xfId="66" applyNumberFormat="1" applyFill="1" applyBorder="1" applyAlignment="1"/>
    <xf numFmtId="42" fontId="16" fillId="0" borderId="11" xfId="66" applyNumberFormat="1" applyBorder="1" applyAlignment="1"/>
    <xf numFmtId="42" fontId="16" fillId="0" borderId="0" xfId="66" applyNumberFormat="1" applyAlignment="1"/>
    <xf numFmtId="42" fontId="16" fillId="0" borderId="0" xfId="66" applyNumberFormat="1" applyAlignment="1" applyProtection="1">
      <protection locked="0"/>
    </xf>
    <xf numFmtId="42" fontId="16" fillId="0" borderId="13" xfId="66" applyNumberFormat="1" applyFill="1" applyBorder="1" applyAlignment="1"/>
    <xf numFmtId="42" fontId="16" fillId="0" borderId="18" xfId="66" applyNumberFormat="1" applyBorder="1" applyAlignment="1"/>
    <xf numFmtId="42" fontId="16" fillId="0" borderId="11" xfId="66" applyNumberFormat="1" applyFill="1" applyBorder="1" applyAlignment="1"/>
    <xf numFmtId="42" fontId="16" fillId="0" borderId="22" xfId="66" applyNumberFormat="1" applyBorder="1" applyAlignment="1"/>
    <xf numFmtId="42" fontId="16" fillId="0" borderId="14" xfId="66" applyNumberFormat="1" applyBorder="1" applyAlignment="1" applyProtection="1">
      <protection locked="0"/>
    </xf>
    <xf numFmtId="42" fontId="16" fillId="0" borderId="20" xfId="66" applyNumberFormat="1" applyFill="1" applyBorder="1" applyAlignment="1"/>
    <xf numFmtId="42" fontId="16" fillId="0" borderId="17" xfId="66" applyNumberFormat="1" applyFill="1" applyBorder="1" applyAlignment="1"/>
    <xf numFmtId="42" fontId="16" fillId="47" borderId="15" xfId="66" applyNumberFormat="1" applyFill="1" applyBorder="1" applyAlignment="1"/>
    <xf numFmtId="42" fontId="16" fillId="47" borderId="13" xfId="66" applyNumberFormat="1" applyFill="1" applyBorder="1" applyAlignment="1" applyProtection="1">
      <protection locked="0"/>
    </xf>
    <xf numFmtId="42" fontId="16" fillId="0" borderId="13" xfId="66" applyNumberFormat="1" applyBorder="1" applyAlignment="1" applyProtection="1">
      <protection locked="0"/>
    </xf>
    <xf numFmtId="42" fontId="16" fillId="0" borderId="34" xfId="66" applyNumberFormat="1" applyBorder="1" applyAlignment="1" applyProtection="1">
      <protection locked="0"/>
    </xf>
    <xf numFmtId="42" fontId="16" fillId="47" borderId="20" xfId="66" applyNumberFormat="1" applyFill="1" applyBorder="1" applyAlignment="1"/>
    <xf numFmtId="175" fontId="16" fillId="0" borderId="0" xfId="66" applyFont="1" applyFill="1" applyProtection="1">
      <protection locked="0"/>
    </xf>
    <xf numFmtId="3" fontId="48" fillId="47" borderId="17" xfId="0" applyNumberFormat="1" applyFont="1" applyFill="1" applyBorder="1" applyAlignment="1" applyProtection="1">
      <alignment horizontal="center"/>
      <protection locked="0"/>
    </xf>
    <xf numFmtId="43" fontId="16" fillId="50" borderId="0" xfId="46" quotePrefix="1" applyFill="1" applyAlignment="1">
      <alignment horizontal="right"/>
    </xf>
    <xf numFmtId="43" fontId="16" fillId="50" borderId="0" xfId="46" quotePrefix="1" applyNumberFormat="1" applyFill="1" applyAlignment="1">
      <alignment horizontal="right"/>
    </xf>
    <xf numFmtId="179" fontId="16" fillId="0" borderId="17" xfId="66" applyNumberFormat="1" applyBorder="1" applyAlignment="1"/>
    <xf numFmtId="42" fontId="59" fillId="0" borderId="21" xfId="520" applyNumberFormat="1" applyFont="1" applyBorder="1"/>
    <xf numFmtId="175" fontId="16" fillId="47" borderId="0" xfId="66" applyFont="1" applyFill="1"/>
    <xf numFmtId="175" fontId="134" fillId="0" borderId="0" xfId="0" quotePrefix="1" applyFont="1" applyAlignment="1">
      <alignment vertical="center"/>
    </xf>
    <xf numFmtId="175" fontId="64" fillId="47" borderId="0" xfId="0" quotePrefix="1" applyFont="1" applyFill="1" applyAlignment="1">
      <alignment horizontal="left" vertical="top" wrapText="1"/>
    </xf>
    <xf numFmtId="175" fontId="64" fillId="0" borderId="0" xfId="0" quotePrefix="1" applyFont="1" applyAlignment="1">
      <alignment horizontal="left" vertical="justify"/>
    </xf>
    <xf numFmtId="175" fontId="64" fillId="0" borderId="0" xfId="0" quotePrefix="1" applyFont="1"/>
    <xf numFmtId="175" fontId="64" fillId="0" borderId="0" xfId="0" applyFont="1"/>
    <xf numFmtId="175" fontId="64" fillId="52" borderId="0" xfId="0" quotePrefix="1" applyFont="1" applyFill="1" applyAlignment="1">
      <alignment vertical="justify"/>
    </xf>
    <xf numFmtId="175" fontId="64" fillId="52" borderId="0" xfId="0" applyFont="1" applyFill="1" applyAlignment="1">
      <alignment vertical="justify"/>
    </xf>
    <xf numFmtId="175" fontId="64" fillId="52" borderId="0" xfId="0" quotePrefix="1" applyFont="1" applyFill="1"/>
    <xf numFmtId="175" fontId="64" fillId="52" borderId="0" xfId="0" applyFont="1" applyFill="1"/>
    <xf numFmtId="175" fontId="64" fillId="0" borderId="0" xfId="0" applyFont="1" applyAlignment="1">
      <alignment horizontal="left" vertical="justify"/>
    </xf>
    <xf numFmtId="175" fontId="64" fillId="0" borderId="0" xfId="0" quotePrefix="1" applyFont="1" applyProtection="1">
      <protection locked="0"/>
    </xf>
    <xf numFmtId="175" fontId="135" fillId="47" borderId="0" xfId="0" applyFont="1" applyFill="1" applyProtection="1">
      <protection locked="0"/>
    </xf>
    <xf numFmtId="175" fontId="128" fillId="47" borderId="0" xfId="0" applyFont="1" applyFill="1" applyAlignment="1">
      <alignment vertical="top" wrapText="1"/>
    </xf>
    <xf numFmtId="175" fontId="69" fillId="43" borderId="0" xfId="66" applyFont="1" applyFill="1"/>
    <xf numFmtId="175" fontId="69" fillId="47" borderId="40" xfId="0" applyFont="1" applyFill="1" applyBorder="1"/>
    <xf numFmtId="42" fontId="16" fillId="0" borderId="0" xfId="520" applyNumberFormat="1" applyFont="1" applyBorder="1"/>
    <xf numFmtId="178" fontId="69" fillId="0" borderId="0" xfId="66" applyNumberFormat="1" applyFont="1" applyBorder="1" applyAlignment="1"/>
    <xf numFmtId="175" fontId="16" fillId="43" borderId="0" xfId="66" applyFont="1" applyFill="1"/>
    <xf numFmtId="168" fontId="16" fillId="0" borderId="0" xfId="66" applyNumberFormat="1" applyProtection="1">
      <protection locked="0"/>
    </xf>
    <xf numFmtId="44" fontId="69" fillId="43" borderId="0" xfId="5685" applyFont="1" applyFill="1"/>
    <xf numFmtId="168" fontId="16" fillId="0" borderId="0" xfId="66" applyNumberFormat="1" applyFill="1" applyProtection="1">
      <protection locked="0"/>
    </xf>
    <xf numFmtId="175" fontId="16" fillId="0" borderId="36" xfId="66" applyFill="1" applyBorder="1" applyProtection="1">
      <protection locked="0"/>
    </xf>
    <xf numFmtId="175" fontId="16" fillId="0" borderId="14" xfId="66" applyFill="1" applyBorder="1" applyProtection="1">
      <protection locked="0"/>
    </xf>
    <xf numFmtId="175" fontId="17" fillId="0" borderId="14" xfId="66" applyFont="1" applyFill="1" applyBorder="1" applyAlignment="1" applyProtection="1">
      <alignment horizontal="right"/>
      <protection locked="0"/>
    </xf>
    <xf numFmtId="6" fontId="16" fillId="0" borderId="0" xfId="66" applyNumberFormat="1" applyFill="1"/>
    <xf numFmtId="6" fontId="16" fillId="0" borderId="0" xfId="66" applyNumberFormat="1" applyFill="1" applyProtection="1">
      <protection locked="0"/>
    </xf>
    <xf numFmtId="42" fontId="16" fillId="0" borderId="21" xfId="66" applyNumberFormat="1" applyFill="1" applyBorder="1" applyAlignment="1"/>
    <xf numFmtId="175" fontId="68" fillId="0" borderId="0" xfId="66" applyFont="1" applyFill="1" applyAlignment="1">
      <alignment horizontal="center"/>
    </xf>
    <xf numFmtId="175" fontId="68" fillId="0" borderId="0" xfId="66" applyFont="1" applyFill="1" applyAlignment="1"/>
    <xf numFmtId="44" fontId="68" fillId="0" borderId="0" xfId="50" applyFont="1" applyFill="1" applyAlignment="1">
      <alignment horizontal="center"/>
    </xf>
    <xf numFmtId="175" fontId="68" fillId="0" borderId="0" xfId="66" applyFont="1" applyFill="1" applyBorder="1" applyAlignment="1">
      <alignment horizontal="center"/>
    </xf>
    <xf numFmtId="175" fontId="68" fillId="0" borderId="54" xfId="66" applyFont="1" applyFill="1" applyBorder="1" applyAlignment="1">
      <alignment horizontal="center" wrapText="1"/>
    </xf>
    <xf numFmtId="178" fontId="69" fillId="0" borderId="0" xfId="66" applyNumberFormat="1" applyFont="1" applyFill="1" applyBorder="1"/>
    <xf numFmtId="178" fontId="69" fillId="0" borderId="0" xfId="66" applyNumberFormat="1" applyFont="1" applyFill="1" applyBorder="1" applyAlignment="1"/>
    <xf numFmtId="178" fontId="69" fillId="0" borderId="14" xfId="66" applyNumberFormat="1" applyFont="1" applyFill="1" applyBorder="1" applyAlignment="1"/>
    <xf numFmtId="178" fontId="68" fillId="0" borderId="14" xfId="66" applyNumberFormat="1" applyFont="1" applyFill="1" applyBorder="1" applyAlignment="1"/>
    <xf numFmtId="178" fontId="68" fillId="0" borderId="101" xfId="66" applyNumberFormat="1" applyFont="1" applyFill="1" applyBorder="1" applyAlignment="1"/>
    <xf numFmtId="178" fontId="69" fillId="0" borderId="0" xfId="66" applyNumberFormat="1" applyFont="1" applyFill="1" applyAlignment="1"/>
    <xf numFmtId="178" fontId="68" fillId="0" borderId="96" xfId="66" applyNumberFormat="1" applyFont="1" applyFill="1" applyBorder="1" applyAlignment="1"/>
    <xf numFmtId="178" fontId="68" fillId="0" borderId="42" xfId="66" applyNumberFormat="1" applyFont="1" applyFill="1" applyBorder="1" applyAlignment="1"/>
    <xf numFmtId="178" fontId="68" fillId="0" borderId="61" xfId="66" applyNumberFormat="1" applyFont="1" applyFill="1" applyBorder="1" applyAlignment="1"/>
    <xf numFmtId="178" fontId="68" fillId="0" borderId="14" xfId="50" applyNumberFormat="1" applyFont="1" applyFill="1" applyBorder="1" applyAlignment="1"/>
    <xf numFmtId="178" fontId="68" fillId="0" borderId="60" xfId="66" applyNumberFormat="1" applyFont="1" applyFill="1" applyBorder="1" applyAlignment="1"/>
    <xf numFmtId="178" fontId="68" fillId="0" borderId="51" xfId="66" applyNumberFormat="1" applyFont="1" applyFill="1" applyBorder="1" applyAlignment="1"/>
    <xf numFmtId="178" fontId="68" fillId="0" borderId="73" xfId="66" applyNumberFormat="1" applyFont="1" applyFill="1" applyBorder="1" applyAlignment="1"/>
    <xf numFmtId="42" fontId="16" fillId="0" borderId="0" xfId="66" applyNumberFormat="1" applyBorder="1" applyAlignment="1"/>
    <xf numFmtId="172" fontId="18" fillId="47" borderId="114" xfId="46" applyNumberFormat="1" applyFont="1" applyFill="1" applyBorder="1" applyAlignment="1">
      <alignment horizontal="right"/>
    </xf>
    <xf numFmtId="175" fontId="64" fillId="0" borderId="0" xfId="66" applyFont="1" applyAlignment="1">
      <alignment wrapText="1"/>
    </xf>
    <xf numFmtId="175" fontId="0" fillId="0" borderId="0" xfId="66" applyFont="1"/>
    <xf numFmtId="175" fontId="0" fillId="47" borderId="0" xfId="66" applyFont="1" applyFill="1"/>
    <xf numFmtId="0" fontId="1" fillId="0" borderId="0" xfId="597" applyFont="1"/>
    <xf numFmtId="175" fontId="0" fillId="0" borderId="0" xfId="66" applyFont="1" applyAlignment="1">
      <alignment horizontal="center"/>
    </xf>
    <xf numFmtId="175" fontId="0" fillId="0" borderId="115" xfId="66" applyFont="1" applyBorder="1"/>
    <xf numFmtId="175" fontId="0" fillId="0" borderId="54" xfId="66" applyFont="1" applyBorder="1"/>
    <xf numFmtId="178" fontId="0" fillId="0" borderId="0" xfId="66" applyNumberFormat="1" applyFont="1"/>
    <xf numFmtId="178" fontId="0" fillId="0" borderId="54" xfId="66" applyNumberFormat="1" applyFont="1" applyBorder="1"/>
    <xf numFmtId="164" fontId="0" fillId="0" borderId="0" xfId="66" applyNumberFormat="1" applyFont="1"/>
    <xf numFmtId="178" fontId="0" fillId="0" borderId="116" xfId="66" applyNumberFormat="1" applyFont="1" applyBorder="1"/>
    <xf numFmtId="178" fontId="0" fillId="0" borderId="101" xfId="66" applyNumberFormat="1" applyFont="1" applyBorder="1"/>
    <xf numFmtId="0" fontId="0" fillId="0" borderId="0" xfId="66" applyNumberFormat="1" applyFont="1"/>
    <xf numFmtId="178" fontId="0" fillId="0" borderId="0" xfId="66" applyNumberFormat="1" applyFont="1" applyProtection="1">
      <protection locked="0"/>
    </xf>
    <xf numFmtId="178" fontId="0" fillId="0" borderId="117" xfId="66" applyNumberFormat="1" applyFont="1" applyBorder="1"/>
    <xf numFmtId="178" fontId="0" fillId="0" borderId="14" xfId="66" applyNumberFormat="1" applyFont="1" applyBorder="1" applyProtection="1">
      <protection locked="0"/>
    </xf>
    <xf numFmtId="175" fontId="17" fillId="0" borderId="115" xfId="66" applyFont="1" applyBorder="1" applyAlignment="1">
      <alignment horizontal="left" indent="1"/>
    </xf>
    <xf numFmtId="178" fontId="0" fillId="0" borderId="115" xfId="66" applyNumberFormat="1" applyFont="1" applyBorder="1"/>
    <xf numFmtId="178" fontId="0" fillId="44" borderId="116" xfId="66" applyNumberFormat="1" applyFont="1" applyFill="1" applyBorder="1"/>
    <xf numFmtId="178" fontId="0" fillId="44" borderId="101" xfId="66" applyNumberFormat="1" applyFont="1" applyFill="1" applyBorder="1"/>
    <xf numFmtId="164" fontId="0" fillId="0" borderId="0" xfId="66" applyNumberFormat="1" applyFont="1" applyAlignment="1">
      <alignment horizontal="right"/>
    </xf>
    <xf numFmtId="164" fontId="0" fillId="44" borderId="0" xfId="66" applyNumberFormat="1" applyFont="1" applyFill="1"/>
    <xf numFmtId="178" fontId="17" fillId="0" borderId="46" xfId="66" applyNumberFormat="1" applyFont="1" applyBorder="1"/>
    <xf numFmtId="178" fontId="17" fillId="0" borderId="61" xfId="66" applyNumberFormat="1" applyFont="1" applyBorder="1"/>
    <xf numFmtId="178" fontId="17" fillId="47" borderId="46" xfId="66" applyNumberFormat="1" applyFont="1" applyFill="1" applyBorder="1"/>
    <xf numFmtId="178" fontId="17" fillId="47" borderId="62" xfId="66" applyNumberFormat="1" applyFont="1" applyFill="1" applyBorder="1"/>
    <xf numFmtId="178" fontId="17" fillId="47" borderId="61" xfId="66" applyNumberFormat="1" applyFont="1" applyFill="1" applyBorder="1"/>
    <xf numFmtId="164" fontId="0" fillId="47" borderId="0" xfId="66" applyNumberFormat="1" applyFont="1" applyFill="1"/>
    <xf numFmtId="164" fontId="17" fillId="0" borderId="0" xfId="66" applyNumberFormat="1" applyFont="1"/>
    <xf numFmtId="175" fontId="64" fillId="47" borderId="0" xfId="66" applyFont="1" applyFill="1"/>
    <xf numFmtId="175" fontId="128" fillId="47" borderId="0" xfId="66" applyFont="1" applyFill="1"/>
    <xf numFmtId="175" fontId="0" fillId="0" borderId="114" xfId="0" applyBorder="1"/>
    <xf numFmtId="1" fontId="0" fillId="47" borderId="114" xfId="66" applyNumberFormat="1" applyFont="1" applyFill="1" applyBorder="1" applyAlignment="1" applyProtection="1">
      <alignment horizontal="center"/>
      <protection locked="0"/>
    </xf>
    <xf numFmtId="14" fontId="0" fillId="0" borderId="114" xfId="0" applyNumberFormat="1" applyBorder="1"/>
    <xf numFmtId="175" fontId="0" fillId="47" borderId="114" xfId="66" applyFont="1" applyFill="1" applyBorder="1" applyAlignment="1" applyProtection="1">
      <alignment horizontal="center"/>
      <protection locked="0"/>
    </xf>
    <xf numFmtId="2" fontId="0" fillId="47" borderId="114" xfId="66" applyNumberFormat="1" applyFont="1" applyFill="1" applyBorder="1" applyProtection="1">
      <protection locked="0"/>
    </xf>
    <xf numFmtId="16" fontId="0" fillId="0" borderId="114" xfId="0" applyNumberFormat="1" applyBorder="1" applyAlignment="1">
      <alignment horizontal="right"/>
    </xf>
    <xf numFmtId="175" fontId="71" fillId="47" borderId="0" xfId="66" quotePrefix="1" applyFont="1" applyFill="1" applyAlignment="1" applyProtection="1">
      <alignment horizontal="left"/>
      <protection locked="0"/>
    </xf>
    <xf numFmtId="175" fontId="137" fillId="0" borderId="0" xfId="0" quotePrefix="1" applyFont="1" applyAlignment="1">
      <alignment vertical="center"/>
    </xf>
    <xf numFmtId="175" fontId="0" fillId="0" borderId="0" xfId="0" applyProtection="1">
      <protection locked="0"/>
    </xf>
    <xf numFmtId="175" fontId="64" fillId="47" borderId="0" xfId="0" quotePrefix="1" applyFont="1" applyFill="1" applyProtection="1">
      <protection locked="0"/>
    </xf>
    <xf numFmtId="175" fontId="64" fillId="47" borderId="0" xfId="0" quotePrefix="1" applyFont="1" applyFill="1" applyAlignment="1">
      <alignment horizontal="left" vertical="top" wrapText="1"/>
    </xf>
    <xf numFmtId="175" fontId="17" fillId="0" borderId="63" xfId="0" applyFont="1" applyBorder="1" applyAlignment="1">
      <alignment horizontal="center"/>
    </xf>
    <xf numFmtId="175" fontId="17" fillId="0" borderId="64" xfId="0" applyFont="1" applyBorder="1" applyAlignment="1">
      <alignment horizontal="center"/>
    </xf>
    <xf numFmtId="175" fontId="17" fillId="0" borderId="65" xfId="0" applyFont="1" applyBorder="1" applyAlignment="1">
      <alignment horizontal="center"/>
    </xf>
    <xf numFmtId="175" fontId="64" fillId="0" borderId="0" xfId="0" quotePrefix="1" applyFont="1" applyBorder="1" applyAlignment="1"/>
    <xf numFmtId="175" fontId="64" fillId="0" borderId="0" xfId="0" applyFont="1" applyBorder="1" applyAlignment="1"/>
    <xf numFmtId="175" fontId="64" fillId="52" borderId="0" xfId="0" quotePrefix="1" applyFont="1" applyFill="1" applyBorder="1" applyAlignment="1"/>
    <xf numFmtId="175" fontId="64" fillId="52" borderId="0" xfId="0" applyFont="1" applyFill="1" applyBorder="1" applyAlignment="1"/>
    <xf numFmtId="175" fontId="64" fillId="0" borderId="0" xfId="0" quotePrefix="1" applyFont="1" applyAlignment="1">
      <alignment horizontal="left" vertical="justify"/>
    </xf>
    <xf numFmtId="175" fontId="17" fillId="0" borderId="17" xfId="0" applyFont="1" applyBorder="1" applyAlignment="1">
      <alignment horizontal="center"/>
    </xf>
    <xf numFmtId="175" fontId="17" fillId="0" borderId="0" xfId="0" applyFont="1" applyBorder="1" applyAlignment="1">
      <alignment horizontal="center"/>
    </xf>
    <xf numFmtId="175" fontId="17" fillId="0" borderId="41" xfId="0" applyFont="1" applyBorder="1" applyAlignment="1">
      <alignment horizontal="center"/>
    </xf>
    <xf numFmtId="175" fontId="71" fillId="0" borderId="0" xfId="0" applyFont="1" applyAlignment="1">
      <alignment vertical="top" wrapText="1"/>
    </xf>
    <xf numFmtId="175" fontId="64" fillId="0" borderId="0" xfId="0" quotePrefix="1" applyFont="1"/>
    <xf numFmtId="175" fontId="64" fillId="0" borderId="0" xfId="0" applyFont="1"/>
    <xf numFmtId="175" fontId="64" fillId="52" borderId="0" xfId="0" quotePrefix="1" applyFont="1" applyFill="1" applyAlignment="1">
      <alignment vertical="justify"/>
    </xf>
    <xf numFmtId="175" fontId="64" fillId="52" borderId="0" xfId="0" applyFont="1" applyFill="1" applyAlignment="1">
      <alignment vertical="justify"/>
    </xf>
    <xf numFmtId="175" fontId="64" fillId="52" borderId="0" xfId="0" quotePrefix="1" applyFont="1" applyFill="1"/>
    <xf numFmtId="175" fontId="64" fillId="52" borderId="0" xfId="0" applyFont="1" applyFill="1"/>
    <xf numFmtId="175" fontId="64" fillId="0" borderId="0" xfId="0" applyFont="1" applyAlignment="1">
      <alignment horizontal="left" vertical="justify"/>
    </xf>
    <xf numFmtId="175" fontId="37" fillId="0" borderId="11" xfId="0" applyFont="1" applyBorder="1" applyAlignment="1" applyProtection="1">
      <alignment horizontal="center"/>
      <protection locked="0"/>
    </xf>
    <xf numFmtId="175" fontId="37" fillId="0" borderId="11" xfId="0" applyFont="1" applyBorder="1" applyAlignment="1">
      <alignment horizontal="center"/>
    </xf>
    <xf numFmtId="175" fontId="57" fillId="47" borderId="20" xfId="66" applyFont="1" applyFill="1" applyBorder="1" applyAlignment="1">
      <alignment horizontal="center" wrapText="1"/>
    </xf>
    <xf numFmtId="175" fontId="57" fillId="47" borderId="18" xfId="66" applyFont="1" applyFill="1" applyBorder="1" applyAlignment="1">
      <alignment horizontal="center" wrapText="1"/>
    </xf>
    <xf numFmtId="175" fontId="57" fillId="47" borderId="19" xfId="66" applyFont="1" applyFill="1" applyBorder="1" applyAlignment="1">
      <alignment horizontal="center" wrapText="1"/>
    </xf>
    <xf numFmtId="175" fontId="83" fillId="0" borderId="0" xfId="0" applyFont="1" applyAlignment="1" applyProtection="1">
      <alignment horizontal="center"/>
      <protection locked="0"/>
    </xf>
    <xf numFmtId="17" fontId="83" fillId="47" borderId="0" xfId="0" quotePrefix="1" applyNumberFormat="1" applyFont="1" applyFill="1" applyAlignment="1" applyProtection="1">
      <alignment horizontal="left"/>
      <protection locked="0"/>
    </xf>
    <xf numFmtId="0" fontId="77" fillId="0" borderId="22" xfId="520" applyFont="1" applyBorder="1" applyAlignment="1">
      <alignment horizontal="center" vertical="center" wrapText="1"/>
    </xf>
    <xf numFmtId="0" fontId="77" fillId="0" borderId="21" xfId="520" applyFont="1" applyBorder="1" applyAlignment="1">
      <alignment horizontal="center" vertical="center" wrapText="1"/>
    </xf>
    <xf numFmtId="0" fontId="77" fillId="0" borderId="15" xfId="520" applyFont="1" applyBorder="1" applyAlignment="1">
      <alignment horizontal="center" vertical="center" wrapText="1"/>
    </xf>
    <xf numFmtId="0" fontId="77" fillId="0" borderId="34" xfId="520" applyFont="1" applyBorder="1" applyAlignment="1">
      <alignment horizontal="center" vertical="center" wrapText="1"/>
    </xf>
    <xf numFmtId="175" fontId="16" fillId="0" borderId="0" xfId="66" applyAlignment="1">
      <alignment wrapText="1"/>
    </xf>
    <xf numFmtId="175" fontId="64" fillId="0" borderId="0" xfId="66" applyFont="1" applyAlignment="1">
      <alignment wrapText="1"/>
    </xf>
    <xf numFmtId="178" fontId="69" fillId="0" borderId="117" xfId="66" applyNumberFormat="1" applyFont="1" applyFill="1" applyBorder="1"/>
    <xf numFmtId="178" fontId="69" fillId="0" borderId="118" xfId="66" applyNumberFormat="1" applyFont="1" applyFill="1" applyBorder="1"/>
  </cellXfs>
  <cellStyles count="5686">
    <cellStyle name="20% - Accent1" xfId="1" builtinId="30" customBuiltin="1"/>
    <cellStyle name="20% - Accent1 10" xfId="2615" xr:uid="{0530D38E-A898-4260-B744-EE0FD3F51670}"/>
    <cellStyle name="20% - Accent1 10 2" xfId="5050" xr:uid="{1B5BB733-B31C-45E1-89E8-6B9AE1C1AF2C}"/>
    <cellStyle name="20% - Accent1 11" xfId="946" xr:uid="{BDB4F86E-C395-4B17-B047-8C5095DD363A}"/>
    <cellStyle name="20% - Accent1 11 2" xfId="3842" xr:uid="{59F8B971-E92A-42A0-8C1D-D80B3EE5256F}"/>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2 2 2" xfId="5251" xr:uid="{8A7202C0-E3B0-4168-9036-A882F1397B6F}"/>
    <cellStyle name="20% - Accent1 2 3 2 2 3" xfId="4495" xr:uid="{3A6E4DDB-B1C6-4029-96D1-A8894BE732C2}"/>
    <cellStyle name="20% - Accent1 2 3 2 3" xfId="2288" xr:uid="{F2E1F472-CE35-4D10-8FEB-758E8C07E3DD}"/>
    <cellStyle name="20% - Accent1 2 3 2 3 2" xfId="4723" xr:uid="{85DE5FD8-F8C6-488F-A0CD-5787746E43DD}"/>
    <cellStyle name="20% - Accent1 2 3 2 4" xfId="3830" xr:uid="{B5345671-8464-40DF-9015-96E55105459F}"/>
    <cellStyle name="20% - Accent1 2 3 3" xfId="1808" xr:uid="{D3C92B8B-90D6-43B2-8227-DEE1BA0F0E5B}"/>
    <cellStyle name="20% - Accent1 2 3 3 2" xfId="2646" xr:uid="{70FB1B76-3321-46D4-9106-9DA2EEA22BFB}"/>
    <cellStyle name="20% - Accent1 2 3 3 2 2" xfId="5081" xr:uid="{68A9E1F3-9482-4321-80E0-5A1B248D6A70}"/>
    <cellStyle name="20% - Accent1 2 3 3 3" xfId="4325" xr:uid="{7FC01D06-39D6-40B2-B4C0-912C676C72BD}"/>
    <cellStyle name="20% - Accent1 2 3 4" xfId="2287" xr:uid="{D4B2E421-0561-416A-A741-CB28425CB29D}"/>
    <cellStyle name="20% - Accent1 2 3 4 2" xfId="4722" xr:uid="{7D5C51E6-A3EB-441F-AB85-537C9E848BA3}"/>
    <cellStyle name="20% - Accent1 2 3 5" xfId="3849" xr:uid="{A124BC04-1B1D-4243-87C3-AD3A11303B8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2 2 2" xfId="5252" xr:uid="{C6373E45-2710-4BC1-ADC3-D8A277A0C71F}"/>
    <cellStyle name="20% - Accent1 3 2 2 3" xfId="4496" xr:uid="{B56AD8FA-1601-449C-8498-F10B4C6DBCC3}"/>
    <cellStyle name="20% - Accent1 3 2 3" xfId="2290" xr:uid="{6F895BEF-BCED-40AC-96A0-82BD08C4B72E}"/>
    <cellStyle name="20% - Accent1 3 2 3 2" xfId="4725" xr:uid="{7ACFB64C-5FE6-4C31-A6D4-8F5C7187E785}"/>
    <cellStyle name="20% - Accent1 3 2 4" xfId="3866" xr:uid="{4D321D5C-EEB2-4EEB-BF26-5841FD046339}"/>
    <cellStyle name="20% - Accent1 3 3" xfId="1809" xr:uid="{931AC7EF-5BF8-4AFB-B058-9DF3DAB1E317}"/>
    <cellStyle name="20% - Accent1 3 3 2" xfId="2647" xr:uid="{78A469D2-3877-443D-9D6E-B6F0FBCDFBDA}"/>
    <cellStyle name="20% - Accent1 3 3 2 2" xfId="5082" xr:uid="{570EAE52-C520-41A5-88B8-D075AE9D40F5}"/>
    <cellStyle name="20% - Accent1 3 3 3" xfId="4326" xr:uid="{6A3D9817-490E-4DE7-9F98-83EEE3DFD902}"/>
    <cellStyle name="20% - Accent1 3 4" xfId="2289" xr:uid="{4303F234-775D-4272-856E-58CA7093D8D3}"/>
    <cellStyle name="20% - Accent1 3 4 2" xfId="4724" xr:uid="{874124A8-AE30-4EC2-B474-5EB1E6EB5848}"/>
    <cellStyle name="20% - Accent1 3 5" xfId="942" xr:uid="{E7080B5B-02A6-4315-B7D0-BA9EBFCC9C42}"/>
    <cellStyle name="20% - Accent1 3 5 2" xfId="3839" xr:uid="{5120F858-5000-4C64-8B26-33EAFA38F1EC}"/>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2 2 2" xfId="5250" xr:uid="{89249FE4-4DCD-4F4B-8280-D3D43FD3C821}"/>
    <cellStyle name="20% - Accent1 4 2 2 3" xfId="4494" xr:uid="{527CE932-A8CB-472C-9D91-27A874C3AB23}"/>
    <cellStyle name="20% - Accent1 4 2 3" xfId="2292" xr:uid="{904A13CC-9511-44BD-A155-55A1461B31BA}"/>
    <cellStyle name="20% - Accent1 4 2 3 2" xfId="4727" xr:uid="{0599947B-65CD-4DCE-96BA-0F04B036D9B3}"/>
    <cellStyle name="20% - Accent1 4 2 4" xfId="3851" xr:uid="{48BBF66C-EB65-4543-AA92-20F75DB96482}"/>
    <cellStyle name="20% - Accent1 4 3" xfId="1807" xr:uid="{AC47F1B8-BBE0-4DD0-97EF-DB99F3D3AE25}"/>
    <cellStyle name="20% - Accent1 4 3 2" xfId="2645" xr:uid="{B162F789-3EB4-478C-B48C-A5391DEB21B6}"/>
    <cellStyle name="20% - Accent1 4 3 2 2" xfId="5080" xr:uid="{6AC5B924-1C95-4C9C-8A22-53743593635A}"/>
    <cellStyle name="20% - Accent1 4 3 3" xfId="4324" xr:uid="{BD7295CC-9AF2-41A4-B850-986D32FA4747}"/>
    <cellStyle name="20% - Accent1 4 4" xfId="2291" xr:uid="{82B67865-F285-40AF-9237-AC60663EB795}"/>
    <cellStyle name="20% - Accent1 4 4 2" xfId="4726" xr:uid="{928E40C2-C6C4-437E-A342-82D10FC0809C}"/>
    <cellStyle name="20% - Accent1 4 5" xfId="960" xr:uid="{02CF68AE-40E1-4C03-A7E5-9AFC9172E6DB}"/>
    <cellStyle name="20% - Accent1 4 5 2" xfId="3850" xr:uid="{F176C64F-8748-4F5D-A3C8-036EEAFFDFF3}"/>
    <cellStyle name="20% - Accent1 5" xfId="241" xr:uid="{00000000-0005-0000-0000-000004000000}"/>
    <cellStyle name="20% - Accent1 5 2" xfId="1959" xr:uid="{6442A17C-839A-46CD-B1B9-93CBF511BD65}"/>
    <cellStyle name="20% - Accent1 5 2 2" xfId="2797" xr:uid="{80DEC1DD-596A-4720-A340-92C2CEE2C833}"/>
    <cellStyle name="20% - Accent1 5 2 2 2" xfId="5232" xr:uid="{50BD9A80-4680-4BEE-A932-11D90BA31DC3}"/>
    <cellStyle name="20% - Accent1 5 2 3" xfId="4476" xr:uid="{E29F50A5-4399-4677-B321-1023D8123BDC}"/>
    <cellStyle name="20% - Accent1 5 3" xfId="2293" xr:uid="{7411B0E5-644C-40F4-B004-9B1A2ECC1281}"/>
    <cellStyle name="20% - Accent1 5 3 2" xfId="4728" xr:uid="{1BB16F0A-E185-4F63-B8EC-3A30F27EE565}"/>
    <cellStyle name="20% - Accent1 5 4" xfId="947" xr:uid="{CFF7AC42-0470-4B78-BB57-0CCC00B31340}"/>
    <cellStyle name="20% - Accent1 5 4 2" xfId="3843" xr:uid="{94828FA6-D2E7-4B86-A83C-26DAD790C392}"/>
    <cellStyle name="20% - Accent1 6" xfId="290" xr:uid="{00000000-0005-0000-0000-000005000000}"/>
    <cellStyle name="20% - Accent1 6 2" xfId="2627" xr:uid="{59F633C1-AD72-4529-B123-A543BBBE47A7}"/>
    <cellStyle name="20% - Accent1 6 2 2" xfId="5062" xr:uid="{21C444C7-2B61-43BE-96D3-4022FE7FC0D1}"/>
    <cellStyle name="20% - Accent1 6 3" xfId="1789" xr:uid="{6F1A6773-3269-469E-80C2-09CF3E968FCC}"/>
    <cellStyle name="20% - Accent1 6 3 2" xfId="4306" xr:uid="{6B3019A5-4A94-4912-A6EB-603B6692FD22}"/>
    <cellStyle name="20% - Accent1 7" xfId="354" xr:uid="{00000000-0005-0000-0000-000006000000}"/>
    <cellStyle name="20% - Accent1 7 2" xfId="2969" xr:uid="{89D922CA-8333-4F9E-AB5D-C60140539537}"/>
    <cellStyle name="20% - Accent1 7 2 2" xfId="5404" xr:uid="{E594EDC5-AFDF-4F36-A47A-A880A2D697D6}"/>
    <cellStyle name="20% - Accent1 7 3" xfId="2131" xr:uid="{D72A6829-37BD-4F41-9960-E092A72BDF3B}"/>
    <cellStyle name="20% - Accent1 7 3 2" xfId="4648" xr:uid="{6F50E705-2DEC-4958-8E3C-017A8D21BB1C}"/>
    <cellStyle name="20% - Accent1 8" xfId="425" xr:uid="{00000000-0005-0000-0000-000007000000}"/>
    <cellStyle name="20% - Accent1 8 2" xfId="2160" xr:uid="{68F8AC44-09E9-4ECD-93A0-EC765A37E977}"/>
    <cellStyle name="20% - Accent1 8 2 2" xfId="4661" xr:uid="{D937CB3D-DBEA-4AEE-AAB8-2AA2F53820D1}"/>
    <cellStyle name="20% - Accent1 9" xfId="529" xr:uid="{00000000-0005-0000-0000-000008000000}"/>
    <cellStyle name="20% - Accent1 9 2" xfId="2174" xr:uid="{CBCBBE3E-F28D-4BF9-A80D-AFD5EEA10506}"/>
    <cellStyle name="20% - Accent1 9 2 2" xfId="4675" xr:uid="{8E376766-AE7D-4F37-BA57-C0B5F657E449}"/>
    <cellStyle name="20% - Accent2" xfId="2" builtinId="34" customBuiltin="1"/>
    <cellStyle name="20% - Accent2 10" xfId="2617" xr:uid="{D45E1C98-4E1F-4737-8142-6EA2ECD1C7F5}"/>
    <cellStyle name="20% - Accent2 10 2" xfId="5052" xr:uid="{1D1423E6-E4C2-4804-AC1D-26DF8BD5BABB}"/>
    <cellStyle name="20% - Accent2 11" xfId="920" xr:uid="{2F2F1766-9CCF-4EBF-B47F-27C648F64C4A}"/>
    <cellStyle name="20% - Accent2 11 2" xfId="3828" xr:uid="{CE558020-E147-4540-B4B0-2561EFA5C892}"/>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2 2 2" xfId="5254" xr:uid="{C7B9348D-A92D-464B-9B0D-4BBD3DDC1F69}"/>
    <cellStyle name="20% - Accent2 2 3 2 2 3" xfId="4498" xr:uid="{C464D627-22BA-43D2-8F3B-61A6B07B122D}"/>
    <cellStyle name="20% - Accent2 2 3 2 3" xfId="2295" xr:uid="{2A4ECBE2-27F8-4DBD-BC85-DAC1F0AA44CF}"/>
    <cellStyle name="20% - Accent2 2 3 2 3 2" xfId="4730" xr:uid="{2DF45CDA-E91B-4C87-AB07-44A7448F353D}"/>
    <cellStyle name="20% - Accent2 2 3 2 4" xfId="3853" xr:uid="{53A497BF-CFB6-487F-A75E-ED98B3551F34}"/>
    <cellStyle name="20% - Accent2 2 3 3" xfId="1811" xr:uid="{21A02DD9-FFA4-402E-AD4B-44701A16DAC2}"/>
    <cellStyle name="20% - Accent2 2 3 3 2" xfId="2649" xr:uid="{792D5E3A-8196-4FB9-95E5-759F715902F2}"/>
    <cellStyle name="20% - Accent2 2 3 3 2 2" xfId="5084" xr:uid="{50E9B9D5-05AE-4916-8504-8FCB7739359F}"/>
    <cellStyle name="20% - Accent2 2 3 3 3" xfId="4328" xr:uid="{8121EB68-F8EC-4957-853D-F4C5A702F958}"/>
    <cellStyle name="20% - Accent2 2 3 4" xfId="2294" xr:uid="{3B21621E-C054-4AE6-8A37-DCB9000D8E03}"/>
    <cellStyle name="20% - Accent2 2 3 4 2" xfId="4729" xr:uid="{9E1BD3FD-E7E4-4EB9-A598-830DC34F4EC4}"/>
    <cellStyle name="20% - Accent2 2 3 5" xfId="3852" xr:uid="{489AB53F-F519-4C63-BC37-485ECD57381C}"/>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2 2 2" xfId="5255" xr:uid="{B674335A-2E33-4E5F-807E-72A653C88827}"/>
    <cellStyle name="20% - Accent2 3 2 2 3" xfId="4499" xr:uid="{8DCF0E05-B4A7-4D5C-8959-4C7EA153B954}"/>
    <cellStyle name="20% - Accent2 3 2 3" xfId="2297" xr:uid="{5C6C3C63-DB64-4647-A265-5AD6BE0A1443}"/>
    <cellStyle name="20% - Accent2 3 2 3 2" xfId="4732" xr:uid="{FD33FF82-8916-472D-90D2-1CDB4C14FD41}"/>
    <cellStyle name="20% - Accent2 3 2 4" xfId="3855" xr:uid="{EF19E616-40E0-4380-83FD-3B24606618C0}"/>
    <cellStyle name="20% - Accent2 3 3" xfId="1812" xr:uid="{75D0AB1F-B9FC-4034-BB14-1369BFBCB17E}"/>
    <cellStyle name="20% - Accent2 3 3 2" xfId="2650" xr:uid="{F2E1BF83-BC92-41D2-9709-E7B16480C76E}"/>
    <cellStyle name="20% - Accent2 3 3 2 2" xfId="5085" xr:uid="{050B23A7-E227-4B39-BEC7-00CCBFD8861C}"/>
    <cellStyle name="20% - Accent2 3 3 3" xfId="4329" xr:uid="{507C7139-C3AD-4EF5-96A8-51545372AC95}"/>
    <cellStyle name="20% - Accent2 3 4" xfId="2296" xr:uid="{C7C4C218-3E26-423B-9E12-AB31850DA3BB}"/>
    <cellStyle name="20% - Accent2 3 4 2" xfId="4731" xr:uid="{3DA9D788-B9F1-4E6F-8BCC-67806C5DF0DD}"/>
    <cellStyle name="20% - Accent2 3 5" xfId="964" xr:uid="{747F896C-B310-485C-BD92-091169BFE826}"/>
    <cellStyle name="20% - Accent2 3 5 2" xfId="3854" xr:uid="{60E0A3AB-4751-4BD5-9576-0D196A874AC1}"/>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2 2 2" xfId="5253" xr:uid="{EE9109F6-A791-4E92-9C33-2B09B6E0305C}"/>
    <cellStyle name="20% - Accent2 4 2 2 3" xfId="4497" xr:uid="{3EB8827E-4C7A-4309-B34C-2A4F60779463}"/>
    <cellStyle name="20% - Accent2 4 2 3" xfId="2299" xr:uid="{1747903F-0B48-4C12-9BAD-90FE64F55E93}"/>
    <cellStyle name="20% - Accent2 4 2 3 2" xfId="4734" xr:uid="{64F285B3-1124-44A4-BDC2-FDC12290E518}"/>
    <cellStyle name="20% - Accent2 4 2 4" xfId="3857" xr:uid="{9F530370-3F75-4E09-A17A-739A00F5D3B1}"/>
    <cellStyle name="20% - Accent2 4 3" xfId="1810" xr:uid="{0D55ACEC-1AEA-4006-B035-2A1814D9ADA4}"/>
    <cellStyle name="20% - Accent2 4 3 2" xfId="2648" xr:uid="{2DB052C7-9684-45DB-A591-59F29978BF64}"/>
    <cellStyle name="20% - Accent2 4 3 2 2" xfId="5083" xr:uid="{49233B01-B753-4E61-A925-A90F024887B0}"/>
    <cellStyle name="20% - Accent2 4 3 3" xfId="4327" xr:uid="{1A3E8E34-1AA8-476A-A624-632E5EB6111B}"/>
    <cellStyle name="20% - Accent2 4 4" xfId="2298" xr:uid="{08219391-EDCF-4578-B04B-4E4572C6F6C3}"/>
    <cellStyle name="20% - Accent2 4 4 2" xfId="4733" xr:uid="{52C7C624-3795-4329-9082-86A76CAAAB6B}"/>
    <cellStyle name="20% - Accent2 4 5" xfId="966" xr:uid="{3E164E5F-D548-463E-8B9F-25F30C671444}"/>
    <cellStyle name="20% - Accent2 4 5 2" xfId="3856" xr:uid="{CC85D09E-564E-4B68-BCB7-BDD8E67E4E77}"/>
    <cellStyle name="20% - Accent2 5" xfId="242" xr:uid="{00000000-0005-0000-0000-00000D000000}"/>
    <cellStyle name="20% - Accent2 5 2" xfId="1960" xr:uid="{6268BA2A-8D35-4295-9938-7664CA5A71D8}"/>
    <cellStyle name="20% - Accent2 5 2 2" xfId="2798" xr:uid="{948ACF38-882A-48B8-AD57-0F2CF7A5AF5C}"/>
    <cellStyle name="20% - Accent2 5 2 2 2" xfId="5233" xr:uid="{DD7080F0-F129-4079-81E6-63ABC82C6A87}"/>
    <cellStyle name="20% - Accent2 5 2 3" xfId="4477" xr:uid="{EEE9C04C-53F6-4AC2-A066-F79374C56815}"/>
    <cellStyle name="20% - Accent2 5 3" xfId="2300" xr:uid="{8D329776-F97E-4510-8EDA-62F7699BCC57}"/>
    <cellStyle name="20% - Accent2 5 3 2" xfId="4735" xr:uid="{B3F0C368-3083-4EE2-856A-3C307C7A6DC3}"/>
    <cellStyle name="20% - Accent2 5 4" xfId="968" xr:uid="{1D41414A-D504-41CB-BB73-B4F86C41A2B1}"/>
    <cellStyle name="20% - Accent2 5 4 2" xfId="3858" xr:uid="{601D161D-CCF0-40F9-85E0-211EE08FDE7B}"/>
    <cellStyle name="20% - Accent2 6" xfId="291" xr:uid="{00000000-0005-0000-0000-00000E000000}"/>
    <cellStyle name="20% - Accent2 6 2" xfId="2628" xr:uid="{B5F1A896-7B3A-4D37-B3F1-8BF87E2C41B2}"/>
    <cellStyle name="20% - Accent2 6 2 2" xfId="5063" xr:uid="{6B0B7C3C-1B77-40D7-8656-68F170955B9A}"/>
    <cellStyle name="20% - Accent2 6 3" xfId="1790" xr:uid="{A8679535-76C2-4C95-B1F6-C2F50B4DBCBD}"/>
    <cellStyle name="20% - Accent2 6 3 2" xfId="4307" xr:uid="{F66C923E-9012-43EE-90B3-32EE97495547}"/>
    <cellStyle name="20% - Accent2 7" xfId="355" xr:uid="{00000000-0005-0000-0000-00000F000000}"/>
    <cellStyle name="20% - Accent2 7 2" xfId="2971" xr:uid="{64F5F296-F612-4CD5-AE57-82342F3A4393}"/>
    <cellStyle name="20% - Accent2 7 2 2" xfId="5406" xr:uid="{A668FB9D-7DF8-445A-B587-B4F5537B9FAA}"/>
    <cellStyle name="20% - Accent2 7 3" xfId="2133" xr:uid="{56DF31E3-FB5D-40BA-BE3B-0779244E3523}"/>
    <cellStyle name="20% - Accent2 7 3 2" xfId="4650" xr:uid="{84902020-C8B9-4F4C-AF5B-90DFB44E436F}"/>
    <cellStyle name="20% - Accent2 8" xfId="426" xr:uid="{00000000-0005-0000-0000-000010000000}"/>
    <cellStyle name="20% - Accent2 8 2" xfId="2162" xr:uid="{84855050-F300-458B-B537-D1EC01D7189E}"/>
    <cellStyle name="20% - Accent2 8 2 2" xfId="4663" xr:uid="{184562E0-E804-45B4-90F2-6D7B031D7C60}"/>
    <cellStyle name="20% - Accent2 9" xfId="530" xr:uid="{00000000-0005-0000-0000-000011000000}"/>
    <cellStyle name="20% - Accent2 9 2" xfId="2176" xr:uid="{5D233639-AE42-4B0D-8AE6-25139EF609DB}"/>
    <cellStyle name="20% - Accent2 9 2 2" xfId="4677" xr:uid="{3631F91E-331F-48C4-9706-143224B99FC2}"/>
    <cellStyle name="20% - Accent3" xfId="3" builtinId="38" customBuiltin="1"/>
    <cellStyle name="20% - Accent3 10" xfId="2619" xr:uid="{5CFCA78F-B461-4BCC-B775-E9685F5266A1}"/>
    <cellStyle name="20% - Accent3 10 2" xfId="5054" xr:uid="{B614DE88-F7E7-481B-95DC-1E76C25DBFAB}"/>
    <cellStyle name="20% - Accent3 11" xfId="954" xr:uid="{9976CA03-160C-4561-8E89-EC9ABB380422}"/>
    <cellStyle name="20% - Accent3 11 2" xfId="3845" xr:uid="{8689DDD5-256D-4897-A745-61F4B3A42649}"/>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2 2 2" xfId="5257" xr:uid="{1855AB54-8078-4A1A-97F2-062F37D88B0B}"/>
    <cellStyle name="20% - Accent3 2 3 2 2 3" xfId="4501" xr:uid="{F9EA3320-942D-4391-A89E-2B6C40C75B89}"/>
    <cellStyle name="20% - Accent3 2 3 2 3" xfId="2302" xr:uid="{7AF0586B-4310-44E5-8DEF-47382984C71B}"/>
    <cellStyle name="20% - Accent3 2 3 2 3 2" xfId="4737" xr:uid="{7CFAC01B-ABD2-4E57-B252-37D59050666F}"/>
    <cellStyle name="20% - Accent3 2 3 2 4" xfId="3860" xr:uid="{8C520078-FDCA-460A-BECB-357F9376E0E3}"/>
    <cellStyle name="20% - Accent3 2 3 3" xfId="1814" xr:uid="{839C1B10-9B83-4B60-AB4B-FE08CDA912F4}"/>
    <cellStyle name="20% - Accent3 2 3 3 2" xfId="2652" xr:uid="{A70331FB-B14B-4662-AD51-6735DAE2076D}"/>
    <cellStyle name="20% - Accent3 2 3 3 2 2" xfId="5087" xr:uid="{7BB6B168-2E7F-45C8-88A5-1D206045E45C}"/>
    <cellStyle name="20% - Accent3 2 3 3 3" xfId="4331" xr:uid="{5B06EAE2-F42C-41E5-8FE6-BBD797B512DF}"/>
    <cellStyle name="20% - Accent3 2 3 4" xfId="2301" xr:uid="{E1F9037A-2C5B-4BB8-A074-9C70863CF6D1}"/>
    <cellStyle name="20% - Accent3 2 3 4 2" xfId="4736" xr:uid="{DA803F8E-B2BE-436B-9D01-5CF24C880370}"/>
    <cellStyle name="20% - Accent3 2 3 5" xfId="3859" xr:uid="{F09E5DFA-C2F9-4121-A355-44D66A383CEB}"/>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2 2 2" xfId="5258" xr:uid="{720EC776-DCA4-46A8-BCB7-1D1F46D2FE52}"/>
    <cellStyle name="20% - Accent3 3 2 2 3" xfId="4502" xr:uid="{E4A6BE64-C47C-464D-B6F8-A35A0A20E005}"/>
    <cellStyle name="20% - Accent3 3 2 3" xfId="2304" xr:uid="{F8983E88-6832-4586-BC30-679C8E76A32B}"/>
    <cellStyle name="20% - Accent3 3 2 3 2" xfId="4739" xr:uid="{B170CF8B-57B8-4EF9-B39E-A5EF3FBE4713}"/>
    <cellStyle name="20% - Accent3 3 2 4" xfId="3862" xr:uid="{B3664056-6FCF-4488-9A77-BF74C15BB8A6}"/>
    <cellStyle name="20% - Accent3 3 3" xfId="1815" xr:uid="{592F98F2-B4AD-42AB-A6E2-67FF0950841F}"/>
    <cellStyle name="20% - Accent3 3 3 2" xfId="2653" xr:uid="{0AFD1EF2-0FE0-4765-8734-E1D7A3853E8C}"/>
    <cellStyle name="20% - Accent3 3 3 2 2" xfId="5088" xr:uid="{FD884B17-49AD-4991-91B0-097BD0ED9E6B}"/>
    <cellStyle name="20% - Accent3 3 3 3" xfId="4332" xr:uid="{8F38C60D-E657-4C5A-84AC-2EAAE4FBC0A4}"/>
    <cellStyle name="20% - Accent3 3 4" xfId="2303" xr:uid="{0B87E608-DF69-4BD0-9AE9-4033E259A740}"/>
    <cellStyle name="20% - Accent3 3 4 2" xfId="4738" xr:uid="{78CD18B0-7CC0-4BD3-BBBC-EE18260B30E0}"/>
    <cellStyle name="20% - Accent3 3 5" xfId="973" xr:uid="{AB5D054D-9FD3-4F54-AD65-B7435A73F58A}"/>
    <cellStyle name="20% - Accent3 3 5 2" xfId="3861" xr:uid="{B7EB9F60-62CB-4CC4-B9B0-24947ECA7E53}"/>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2 2 2" xfId="5256" xr:uid="{7D839A4A-A443-4BD2-A20D-619131839913}"/>
    <cellStyle name="20% - Accent3 4 2 2 3" xfId="4500" xr:uid="{18442005-92BC-43B8-B58F-F672C02C660C}"/>
    <cellStyle name="20% - Accent3 4 2 3" xfId="2306" xr:uid="{FAAC5063-06E2-4296-AF98-8664D2AABEC0}"/>
    <cellStyle name="20% - Accent3 4 2 3 2" xfId="4741" xr:uid="{D926774F-B53A-4F71-AC33-4763BBE9E369}"/>
    <cellStyle name="20% - Accent3 4 2 4" xfId="3864" xr:uid="{8FE9A1C0-C18E-424F-B786-244FA637F61B}"/>
    <cellStyle name="20% - Accent3 4 3" xfId="1813" xr:uid="{D0B87D49-0A48-40F1-A7CB-BD29ABBC3EF9}"/>
    <cellStyle name="20% - Accent3 4 3 2" xfId="2651" xr:uid="{10423483-C5BF-42FD-8CB6-7B6538F6630F}"/>
    <cellStyle name="20% - Accent3 4 3 2 2" xfId="5086" xr:uid="{049F7C1C-3EEE-48DF-A776-64D1838F9A03}"/>
    <cellStyle name="20% - Accent3 4 3 3" xfId="4330" xr:uid="{B589C21F-CBB8-4ED2-BFA7-F4D5AEACBFD8}"/>
    <cellStyle name="20% - Accent3 4 4" xfId="2305" xr:uid="{ADF42BCE-45BB-4408-9F27-C0EA8972DA18}"/>
    <cellStyle name="20% - Accent3 4 4 2" xfId="4740" xr:uid="{3CB6FE64-AA87-496C-AB23-19CBB7BD1107}"/>
    <cellStyle name="20% - Accent3 4 5" xfId="975" xr:uid="{543CACB9-489A-41CD-93A0-84EF0D365944}"/>
    <cellStyle name="20% - Accent3 4 5 2" xfId="3863" xr:uid="{06678B94-8370-4B37-925B-45A09E44B5A5}"/>
    <cellStyle name="20% - Accent3 5" xfId="243" xr:uid="{00000000-0005-0000-0000-000016000000}"/>
    <cellStyle name="20% - Accent3 5 2" xfId="1961" xr:uid="{E753CB56-69F4-4C75-ADDD-E0D6EE7BD3A1}"/>
    <cellStyle name="20% - Accent3 5 2 2" xfId="2799" xr:uid="{BD45DB39-6319-4D67-A57B-414913B399B5}"/>
    <cellStyle name="20% - Accent3 5 2 2 2" xfId="5234" xr:uid="{41360DF6-9840-4320-AF18-197831769DF4}"/>
    <cellStyle name="20% - Accent3 5 2 3" xfId="4478" xr:uid="{2E041C25-4467-4A84-9D72-5142A116B276}"/>
    <cellStyle name="20% - Accent3 5 3" xfId="2307" xr:uid="{10772820-7654-4DBC-AC0F-34B83BBBF6F9}"/>
    <cellStyle name="20% - Accent3 5 3 2" xfId="4742" xr:uid="{CCD92B74-99C7-4B59-B84F-B3394561D3FC}"/>
    <cellStyle name="20% - Accent3 5 4" xfId="977" xr:uid="{ADED9F3F-8F59-4E0E-8A8E-94684C4899FC}"/>
    <cellStyle name="20% - Accent3 5 4 2" xfId="3865" xr:uid="{8B77B3E0-E302-4E7A-8D89-6694A47B661A}"/>
    <cellStyle name="20% - Accent3 6" xfId="292" xr:uid="{00000000-0005-0000-0000-000017000000}"/>
    <cellStyle name="20% - Accent3 6 2" xfId="2629" xr:uid="{DE824507-CB77-4F9F-95D5-EE06AC53C063}"/>
    <cellStyle name="20% - Accent3 6 2 2" xfId="5064" xr:uid="{EBF3494C-A8E2-451B-939E-34C3346F49FD}"/>
    <cellStyle name="20% - Accent3 6 3" xfId="1791" xr:uid="{F38B3921-7B0D-48AC-BB6C-454285E7984D}"/>
    <cellStyle name="20% - Accent3 6 3 2" xfId="4308" xr:uid="{462A1C57-B0DD-47F6-B824-5BEADD38136A}"/>
    <cellStyle name="20% - Accent3 7" xfId="356" xr:uid="{00000000-0005-0000-0000-000018000000}"/>
    <cellStyle name="20% - Accent3 7 2" xfId="2973" xr:uid="{EBBCB823-A93A-43C1-927B-87CAA8A2BAAD}"/>
    <cellStyle name="20% - Accent3 7 2 2" xfId="5408" xr:uid="{BB045980-9CAB-4448-AFCA-4DF3D7AAC8AF}"/>
    <cellStyle name="20% - Accent3 7 3" xfId="2135" xr:uid="{725C397B-6B53-4D9C-B684-4026A2DB8815}"/>
    <cellStyle name="20% - Accent3 7 3 2" xfId="4652" xr:uid="{24048B39-92F6-4D3E-A61B-586547AB9DF3}"/>
    <cellStyle name="20% - Accent3 8" xfId="427" xr:uid="{00000000-0005-0000-0000-000019000000}"/>
    <cellStyle name="20% - Accent3 8 2" xfId="2164" xr:uid="{0F0926F3-ECC6-4B25-9A8F-31F3B010F4B7}"/>
    <cellStyle name="20% - Accent3 8 2 2" xfId="4665" xr:uid="{94636EE7-4F49-4AC2-95FC-1FD4FB23234A}"/>
    <cellStyle name="20% - Accent3 9" xfId="531" xr:uid="{00000000-0005-0000-0000-00001A000000}"/>
    <cellStyle name="20% - Accent3 9 2" xfId="2178" xr:uid="{F5635B58-C54B-431A-A9D3-BB0919FD4219}"/>
    <cellStyle name="20% - Accent3 9 2 2" xfId="4679" xr:uid="{4F104492-CE55-4F43-98A3-1B136DBAE4A4}"/>
    <cellStyle name="20% - Accent4" xfId="4" builtinId="42" customBuiltin="1"/>
    <cellStyle name="20% - Accent4 10" xfId="2621" xr:uid="{3B246094-1720-43B5-B680-538F0B9BDA82}"/>
    <cellStyle name="20% - Accent4 10 2" xfId="5056" xr:uid="{040F4E02-EBD6-418C-B81E-B50F042FD4DE}"/>
    <cellStyle name="20% - Accent4 11" xfId="915" xr:uid="{5A6EEF32-3650-4018-B54A-AD33BB006856}"/>
    <cellStyle name="20% - Accent4 11 2" xfId="3827" xr:uid="{CAB20B1B-CB31-4D01-BC92-00672AD3C219}"/>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2 2 2" xfId="5260" xr:uid="{C7C1C9F6-4215-4672-A45C-39350091EDDC}"/>
    <cellStyle name="20% - Accent4 2 3 2 2 3" xfId="4504" xr:uid="{3158E772-1AFA-45FE-9836-C55201ED0407}"/>
    <cellStyle name="20% - Accent4 2 3 2 3" xfId="2309" xr:uid="{8657D0CA-0A0E-48A8-BF17-7661EF597940}"/>
    <cellStyle name="20% - Accent4 2 3 2 3 2" xfId="4744" xr:uid="{B37C1CBC-2D8A-4CED-A95A-33138F7C90EA}"/>
    <cellStyle name="20% - Accent4 2 3 2 4" xfId="3870" xr:uid="{3D42FFD1-33DB-4C91-9240-1CE8121377F8}"/>
    <cellStyle name="20% - Accent4 2 3 3" xfId="1817" xr:uid="{46E3803B-4A29-4307-A8A2-D69AB3EB1929}"/>
    <cellStyle name="20% - Accent4 2 3 3 2" xfId="2655" xr:uid="{4004886A-F3E3-45AE-99E6-D759C004DD92}"/>
    <cellStyle name="20% - Accent4 2 3 3 2 2" xfId="5090" xr:uid="{132EF9A7-DFB3-44B4-BC9B-5B5D57F7F722}"/>
    <cellStyle name="20% - Accent4 2 3 3 3" xfId="4334" xr:uid="{3391F630-E113-4FC9-B5EB-3900D57CD177}"/>
    <cellStyle name="20% - Accent4 2 3 4" xfId="2308" xr:uid="{26963832-3F73-44E1-979B-DB77DCFAC3E8}"/>
    <cellStyle name="20% - Accent4 2 3 4 2" xfId="4743" xr:uid="{89F77D22-A34E-44E7-962D-2D0309141FBA}"/>
    <cellStyle name="20% - Accent4 2 3 5" xfId="3869" xr:uid="{6DB4A763-618E-4E54-A67D-1F8F0564AE45}"/>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2 2 2" xfId="5261" xr:uid="{082399F4-96DF-47B5-9C73-2D93A48E8E2F}"/>
    <cellStyle name="20% - Accent4 3 2 2 3" xfId="4505" xr:uid="{46FDB8C5-E9E8-4B3B-A365-76F4024BF87D}"/>
    <cellStyle name="20% - Accent4 3 2 3" xfId="2311" xr:uid="{806C6774-D6C7-4EE8-A7F9-0731C5754DE1}"/>
    <cellStyle name="20% - Accent4 3 2 3 2" xfId="4746" xr:uid="{91330C7A-9AED-41EB-A197-D9907D2DE3A2}"/>
    <cellStyle name="20% - Accent4 3 2 4" xfId="3872" xr:uid="{D12157BB-7337-4314-9EB7-69685E3A7243}"/>
    <cellStyle name="20% - Accent4 3 3" xfId="1818" xr:uid="{083BC5F4-CE7C-44D6-817C-8DE06A951424}"/>
    <cellStyle name="20% - Accent4 3 3 2" xfId="2656" xr:uid="{2EAFABAD-E117-4497-87CC-74CC40D14302}"/>
    <cellStyle name="20% - Accent4 3 3 2 2" xfId="5091" xr:uid="{E5088DFE-EBE5-4FFE-9771-8267B252A125}"/>
    <cellStyle name="20% - Accent4 3 3 3" xfId="4335" xr:uid="{E94C647A-35CB-4AEE-93D3-3993C7983190}"/>
    <cellStyle name="20% - Accent4 3 4" xfId="2310" xr:uid="{C49B6845-9C0F-408F-847E-7BB01040D4FD}"/>
    <cellStyle name="20% - Accent4 3 4 2" xfId="4745" xr:uid="{EA29C7C7-F910-4FBD-A695-5D7DA1E60954}"/>
    <cellStyle name="20% - Accent4 3 5" xfId="993" xr:uid="{DDD2C970-219F-4FC0-9272-5809ACEBDED1}"/>
    <cellStyle name="20% - Accent4 3 5 2" xfId="3871" xr:uid="{E8D4AE52-6686-4481-AC67-A8473C6A7653}"/>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2 2 2" xfId="5259" xr:uid="{C49AF3F4-FDA9-4CED-9B31-3B298C5BA507}"/>
    <cellStyle name="20% - Accent4 4 2 2 3" xfId="4503" xr:uid="{2690F89E-5ABD-4643-8F52-18A1140C3F8E}"/>
    <cellStyle name="20% - Accent4 4 2 3" xfId="2313" xr:uid="{78686982-BAEA-4E23-962D-280F43539678}"/>
    <cellStyle name="20% - Accent4 4 2 3 2" xfId="4748" xr:uid="{959BAC1E-37A2-48C7-A365-EF25B10650CE}"/>
    <cellStyle name="20% - Accent4 4 2 4" xfId="3874" xr:uid="{26F6BEEC-EE56-40A7-B134-71BFB518374E}"/>
    <cellStyle name="20% - Accent4 4 3" xfId="1816" xr:uid="{83190624-4E4D-4E40-A1C7-92888BFA02F8}"/>
    <cellStyle name="20% - Accent4 4 3 2" xfId="2654" xr:uid="{49A10E1E-DC85-408D-B63A-6065F56D789C}"/>
    <cellStyle name="20% - Accent4 4 3 2 2" xfId="5089" xr:uid="{9328185E-619E-4C97-8117-68CF351A1EC6}"/>
    <cellStyle name="20% - Accent4 4 3 3" xfId="4333" xr:uid="{9061EA33-24D5-4699-A7EF-B842AB3DC73E}"/>
    <cellStyle name="20% - Accent4 4 4" xfId="2312" xr:uid="{6FCF534A-0EA9-4B7F-9F79-A333B98820D7}"/>
    <cellStyle name="20% - Accent4 4 4 2" xfId="4747" xr:uid="{97989DA6-E5BA-48F5-A60C-E68494987407}"/>
    <cellStyle name="20% - Accent4 4 5" xfId="995" xr:uid="{DFA5EF04-B3E9-4B5D-9F85-2930EA017724}"/>
    <cellStyle name="20% - Accent4 4 5 2" xfId="3873" xr:uid="{646F8E97-E2B7-4E2C-92D1-EF30D47C108D}"/>
    <cellStyle name="20% - Accent4 5" xfId="244" xr:uid="{00000000-0005-0000-0000-00001F000000}"/>
    <cellStyle name="20% - Accent4 5 2" xfId="1962" xr:uid="{ADA161F3-2D41-4676-BD2F-3E7196E94731}"/>
    <cellStyle name="20% - Accent4 5 2 2" xfId="2800" xr:uid="{2F1CB915-6CC7-44FD-951C-00B876F43780}"/>
    <cellStyle name="20% - Accent4 5 2 2 2" xfId="5235" xr:uid="{E0F69F5F-2F51-47C4-8C7D-89BD1DCE69EA}"/>
    <cellStyle name="20% - Accent4 5 2 3" xfId="4479" xr:uid="{56118FF9-B512-4109-84C7-0186EC575E3E}"/>
    <cellStyle name="20% - Accent4 5 3" xfId="2314" xr:uid="{9747D78F-093D-4B47-8A38-96D7F968850B}"/>
    <cellStyle name="20% - Accent4 5 3 2" xfId="4749" xr:uid="{799B96A5-9C99-45F9-9C19-1165C57E06EC}"/>
    <cellStyle name="20% - Accent4 5 4" xfId="997" xr:uid="{3CC0B8DE-554D-4A59-8AE4-77900C732C2A}"/>
    <cellStyle name="20% - Accent4 5 4 2" xfId="3875" xr:uid="{1B5C81B1-65BD-4DD2-AA65-44AE87DD249D}"/>
    <cellStyle name="20% - Accent4 6" xfId="293" xr:uid="{00000000-0005-0000-0000-000020000000}"/>
    <cellStyle name="20% - Accent4 6 2" xfId="2630" xr:uid="{E591D52A-CCE6-4B0B-8597-1A6DBEF752A2}"/>
    <cellStyle name="20% - Accent4 6 2 2" xfId="5065" xr:uid="{6CF8AF5E-3730-4BB7-9B29-603F003BA235}"/>
    <cellStyle name="20% - Accent4 6 3" xfId="1792" xr:uid="{F940F4DD-2457-47CA-97AD-8792B5DBC7C5}"/>
    <cellStyle name="20% - Accent4 6 3 2" xfId="4309" xr:uid="{45AAE682-8192-4845-AFB2-6603CF47FA91}"/>
    <cellStyle name="20% - Accent4 7" xfId="357" xr:uid="{00000000-0005-0000-0000-000021000000}"/>
    <cellStyle name="20% - Accent4 7 2" xfId="2975" xr:uid="{0B41D3AE-EA91-4627-B1BC-B18C40D99F8D}"/>
    <cellStyle name="20% - Accent4 7 2 2" xfId="5410" xr:uid="{FCD70600-CE08-4DC5-8CC0-F38E631FCB7C}"/>
    <cellStyle name="20% - Accent4 7 3" xfId="2137" xr:uid="{AFA90D69-FED5-45B2-BC8B-3ABC622E7564}"/>
    <cellStyle name="20% - Accent4 7 3 2" xfId="4654" xr:uid="{ACA308D2-4F47-4F74-8420-CDB75EB62EBC}"/>
    <cellStyle name="20% - Accent4 8" xfId="428" xr:uid="{00000000-0005-0000-0000-000022000000}"/>
    <cellStyle name="20% - Accent4 8 2" xfId="2166" xr:uid="{279FEF06-27CB-4D4A-8DC7-721ACEEA3476}"/>
    <cellStyle name="20% - Accent4 8 2 2" xfId="4667" xr:uid="{2DD21D8D-B606-46ED-BE8B-1F85A1AEE040}"/>
    <cellStyle name="20% - Accent4 9" xfId="532" xr:uid="{00000000-0005-0000-0000-000023000000}"/>
    <cellStyle name="20% - Accent4 9 2" xfId="2180" xr:uid="{9C5FA449-C34D-49CA-B79F-5874FCBE6CDD}"/>
    <cellStyle name="20% - Accent4 9 2 2" xfId="4681" xr:uid="{25188845-D549-4B21-BC70-DE161D5492FD}"/>
    <cellStyle name="20% - Accent5" xfId="5" builtinId="46" customBuiltin="1"/>
    <cellStyle name="20% - Accent5 10" xfId="2623" xr:uid="{6838C6DB-F91B-405D-9955-F790BD8866AB}"/>
    <cellStyle name="20% - Accent5 10 2" xfId="5058" xr:uid="{62E328D9-A66D-4C93-B645-9E5C3AEC8E58}"/>
    <cellStyle name="20% - Accent5 11" xfId="955" xr:uid="{65D9CE5D-1048-4C74-92E8-52AAD66AFC95}"/>
    <cellStyle name="20% - Accent5 11 2" xfId="3846" xr:uid="{97F1742F-EE5C-4CB9-B4B3-6964688E9D4E}"/>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2 2 2" xfId="5263" xr:uid="{B6069C67-F9ED-465F-9629-5060AB2F2E03}"/>
    <cellStyle name="20% - Accent5 2 3 2 2 3" xfId="4507" xr:uid="{F13DD214-5A10-4D05-9013-992F07BC0C29}"/>
    <cellStyle name="20% - Accent5 2 3 2 3" xfId="2316" xr:uid="{0A18502E-91A4-4CA9-AA6A-834170908847}"/>
    <cellStyle name="20% - Accent5 2 3 2 3 2" xfId="4751" xr:uid="{D1BAD48E-94C5-4ED8-9866-6295A121C356}"/>
    <cellStyle name="20% - Accent5 2 3 2 4" xfId="3877" xr:uid="{5D95B66C-1796-41CD-81D5-C93FFF8314DD}"/>
    <cellStyle name="20% - Accent5 2 3 3" xfId="1820" xr:uid="{56132001-12FE-43E0-A866-2099ECB6DAA4}"/>
    <cellStyle name="20% - Accent5 2 3 3 2" xfId="2658" xr:uid="{45706CF6-E31B-4035-9572-EB5647294671}"/>
    <cellStyle name="20% - Accent5 2 3 3 2 2" xfId="5093" xr:uid="{C5A61A4F-E37C-4897-AD03-4501467DF222}"/>
    <cellStyle name="20% - Accent5 2 3 3 3" xfId="4337" xr:uid="{4534452B-1EB7-4168-ADF2-40AD63937640}"/>
    <cellStyle name="20% - Accent5 2 3 4" xfId="2315" xr:uid="{EAF24546-C969-44E0-B446-36ACA632C60B}"/>
    <cellStyle name="20% - Accent5 2 3 4 2" xfId="4750" xr:uid="{2CB39F72-F137-4615-8936-FBB7828CE826}"/>
    <cellStyle name="20% - Accent5 2 3 5" xfId="3876" xr:uid="{9CBD559E-7C5C-4807-827B-BB55B0B5455C}"/>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2 2 2" xfId="5264" xr:uid="{1F8DE7A4-11DF-43FB-B921-8714407D074D}"/>
    <cellStyle name="20% - Accent5 3 2 2 3" xfId="4508" xr:uid="{73536A38-2E6D-4708-8DE8-DDD214F24609}"/>
    <cellStyle name="20% - Accent5 3 2 3" xfId="2318" xr:uid="{ECEEC8EF-F888-4F3D-A6EF-6D8436AAAEA3}"/>
    <cellStyle name="20% - Accent5 3 2 3 2" xfId="4753" xr:uid="{76DF84AC-63CD-4A0E-93BE-BF5189E4F266}"/>
    <cellStyle name="20% - Accent5 3 2 4" xfId="3879" xr:uid="{6B0713C1-E84D-48F0-81F8-1F00CEA241E9}"/>
    <cellStyle name="20% - Accent5 3 3" xfId="1821" xr:uid="{AD14CF76-C82F-48DF-BF54-C960C90F9C84}"/>
    <cellStyle name="20% - Accent5 3 3 2" xfId="2659" xr:uid="{53B9054F-287D-4ED0-A13F-5533116E6542}"/>
    <cellStyle name="20% - Accent5 3 3 2 2" xfId="5094" xr:uid="{88087135-5B8E-474F-B3D3-195622B3C0A3}"/>
    <cellStyle name="20% - Accent5 3 3 3" xfId="4338" xr:uid="{100EE6FF-A653-4F53-8A11-69F26C67D491}"/>
    <cellStyle name="20% - Accent5 3 4" xfId="2317" xr:uid="{FF60A855-3B8A-4019-9058-ED5FAF5861E8}"/>
    <cellStyle name="20% - Accent5 3 4 2" xfId="4752" xr:uid="{F646AE9F-F323-4EE1-95A0-C02ADD14D9DE}"/>
    <cellStyle name="20% - Accent5 3 5" xfId="1002" xr:uid="{66A87533-90B6-4B1A-B0E5-C9B470CD23B3}"/>
    <cellStyle name="20% - Accent5 3 5 2" xfId="3878" xr:uid="{30D46826-05A9-4DBA-AE28-BCCBF653EBB4}"/>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2 2 2" xfId="5262" xr:uid="{6CFCA27E-F752-473B-8338-BD93C8B98E57}"/>
    <cellStyle name="20% - Accent5 4 2 2 3" xfId="4506" xr:uid="{FD40DF06-F49F-4971-8B9B-2B1B5BAB5A5D}"/>
    <cellStyle name="20% - Accent5 4 2 3" xfId="2320" xr:uid="{29086845-2772-429E-9818-D7E62C0C192B}"/>
    <cellStyle name="20% - Accent5 4 2 3 2" xfId="4755" xr:uid="{694771FA-D0B7-4281-8B52-6577793C87E0}"/>
    <cellStyle name="20% - Accent5 4 2 4" xfId="3881" xr:uid="{45BA9550-D03D-4673-A73E-4637E9590E8F}"/>
    <cellStyle name="20% - Accent5 4 3" xfId="1819" xr:uid="{6821BDDF-2075-48EF-91B5-8E552E9AE38D}"/>
    <cellStyle name="20% - Accent5 4 3 2" xfId="2657" xr:uid="{13EF4B57-3E05-4E81-ACD7-C490BEC58E3F}"/>
    <cellStyle name="20% - Accent5 4 3 2 2" xfId="5092" xr:uid="{69C9F7B5-6933-48F9-89F4-7E074DA4205E}"/>
    <cellStyle name="20% - Accent5 4 3 3" xfId="4336" xr:uid="{0026E6B3-271A-43B7-8B22-D641E01BF4F9}"/>
    <cellStyle name="20% - Accent5 4 4" xfId="2319" xr:uid="{7879E237-7FC4-4E34-8CEB-AC4398F530CB}"/>
    <cellStyle name="20% - Accent5 4 4 2" xfId="4754" xr:uid="{FC93B88B-26DC-4016-B094-8DE8F251E784}"/>
    <cellStyle name="20% - Accent5 4 5" xfId="1004" xr:uid="{1899A785-A684-45DA-AE71-1FD9C1F733EA}"/>
    <cellStyle name="20% - Accent5 4 5 2" xfId="3880" xr:uid="{7FD88EB2-79BE-4361-9B32-C3AC11868042}"/>
    <cellStyle name="20% - Accent5 5" xfId="245" xr:uid="{00000000-0005-0000-0000-000028000000}"/>
    <cellStyle name="20% - Accent5 5 2" xfId="1963" xr:uid="{D8B730FA-47E5-4692-90C1-F0F8DBD24AA6}"/>
    <cellStyle name="20% - Accent5 5 2 2" xfId="2801" xr:uid="{C9A74226-BC2B-440C-846F-873E586DC660}"/>
    <cellStyle name="20% - Accent5 5 2 2 2" xfId="5236" xr:uid="{77E33AE2-5E04-42E4-B3DC-3258794FFA4B}"/>
    <cellStyle name="20% - Accent5 5 2 3" xfId="4480" xr:uid="{4EE21CBA-9DC2-4F36-9C52-8C5F59C419C9}"/>
    <cellStyle name="20% - Accent5 5 3" xfId="2321" xr:uid="{1AA93757-A072-4EA9-AC5D-F4084391F2BE}"/>
    <cellStyle name="20% - Accent5 5 3 2" xfId="4756" xr:uid="{44AED110-499B-4C71-AAFB-D7A55515B370}"/>
    <cellStyle name="20% - Accent5 5 4" xfId="1006" xr:uid="{371A469F-AC47-4255-A777-DC99FF1E267C}"/>
    <cellStyle name="20% - Accent5 5 4 2" xfId="3882" xr:uid="{EDF4D78E-DD45-4B79-9515-614AE7BC41FF}"/>
    <cellStyle name="20% - Accent5 6" xfId="294" xr:uid="{00000000-0005-0000-0000-000029000000}"/>
    <cellStyle name="20% - Accent5 6 2" xfId="2631" xr:uid="{78177C13-B088-4043-8BE7-9473C983F540}"/>
    <cellStyle name="20% - Accent5 6 2 2" xfId="5066" xr:uid="{ED82CC04-98F8-465F-8A67-20F7DF6648D5}"/>
    <cellStyle name="20% - Accent5 6 3" xfId="1793" xr:uid="{D5581B2D-3A53-4D15-B3E3-5833254AF209}"/>
    <cellStyle name="20% - Accent5 6 3 2" xfId="4310" xr:uid="{B6B175A8-02B6-46F5-A9F3-F6A3E6A02BC9}"/>
    <cellStyle name="20% - Accent5 7" xfId="358" xr:uid="{00000000-0005-0000-0000-00002A000000}"/>
    <cellStyle name="20% - Accent5 7 2" xfId="2977" xr:uid="{7EFC81BD-072A-4105-A587-0039157F90AD}"/>
    <cellStyle name="20% - Accent5 7 2 2" xfId="5412" xr:uid="{66B4D51D-2472-4470-9E74-57C631DCED0F}"/>
    <cellStyle name="20% - Accent5 7 3" xfId="2139" xr:uid="{F83AD71D-90F4-43AB-AF68-AA61A396CEBF}"/>
    <cellStyle name="20% - Accent5 7 3 2" xfId="4656" xr:uid="{501C41A7-D99F-423A-90F5-BEDA4ABA7C25}"/>
    <cellStyle name="20% - Accent5 8" xfId="429" xr:uid="{00000000-0005-0000-0000-00002B000000}"/>
    <cellStyle name="20% - Accent5 8 2" xfId="2168" xr:uid="{79F8541E-4003-4E4A-8FB0-75B183F81C6D}"/>
    <cellStyle name="20% - Accent5 8 2 2" xfId="4669" xr:uid="{84E1334E-66D9-4F18-9BCA-09107C3D2855}"/>
    <cellStyle name="20% - Accent5 9" xfId="533" xr:uid="{00000000-0005-0000-0000-00002C000000}"/>
    <cellStyle name="20% - Accent5 9 2" xfId="2182" xr:uid="{AFC5FC3C-446B-4FFD-BD2F-2CA2F2885C3E}"/>
    <cellStyle name="20% - Accent5 9 2 2" xfId="4683" xr:uid="{EF8226F4-2EB0-40B1-9FA2-B9EDA30793DE}"/>
    <cellStyle name="20% - Accent6" xfId="6" builtinId="50" customBuiltin="1"/>
    <cellStyle name="20% - Accent6 10" xfId="2625" xr:uid="{139A38CA-48A4-420F-A66C-C60413E459E3}"/>
    <cellStyle name="20% - Accent6 10 2" xfId="5060" xr:uid="{75CACBBF-BB25-4D3E-821F-2396AA1ED485}"/>
    <cellStyle name="20% - Accent6 11" xfId="958" xr:uid="{B196BEDD-6B0C-4E1B-87E6-F4BD78EECC60}"/>
    <cellStyle name="20% - Accent6 11 2" xfId="3848" xr:uid="{EC3B6E11-5F16-41CF-BE18-9CA72FBC805F}"/>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2 2 2" xfId="5266" xr:uid="{24A882A1-AF59-4A81-BC52-882B528D277A}"/>
    <cellStyle name="20% - Accent6 2 3 2 2 3" xfId="4510" xr:uid="{571644A2-CEBE-44C0-8461-F2632C02A947}"/>
    <cellStyle name="20% - Accent6 2 3 2 3" xfId="2323" xr:uid="{37B0D38D-241E-4FD5-9913-741F562B68BD}"/>
    <cellStyle name="20% - Accent6 2 3 2 3 2" xfId="4758" xr:uid="{85E6C73D-DD08-44D8-AC93-FD6316C20D7F}"/>
    <cellStyle name="20% - Accent6 2 3 2 4" xfId="3884" xr:uid="{68F4EA79-E96E-4D8B-9FC3-7CD8A1C42971}"/>
    <cellStyle name="20% - Accent6 2 3 3" xfId="1823" xr:uid="{DE964CA4-EFEA-4507-B351-4BC01D0B1A19}"/>
    <cellStyle name="20% - Accent6 2 3 3 2" xfId="2661" xr:uid="{6773F93F-E0A5-46F6-BE89-C126DBA3A359}"/>
    <cellStyle name="20% - Accent6 2 3 3 2 2" xfId="5096" xr:uid="{DFEDCFD8-7ACD-4A6F-BCA7-4964AF3DC8E1}"/>
    <cellStyle name="20% - Accent6 2 3 3 3" xfId="4340" xr:uid="{874A11FF-928C-4B41-99B2-61D756BD7C99}"/>
    <cellStyle name="20% - Accent6 2 3 4" xfId="2322" xr:uid="{8B9AC681-C74B-49D8-B5DF-8951548AEDDF}"/>
    <cellStyle name="20% - Accent6 2 3 4 2" xfId="4757" xr:uid="{15CC0B2B-28DB-4F52-8D11-C0EC7400DDC2}"/>
    <cellStyle name="20% - Accent6 2 3 5" xfId="3883" xr:uid="{2C6D429E-1151-46CC-B445-9C40C7CE9732}"/>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2 2 2" xfId="5267" xr:uid="{7A504E44-489F-4F50-B101-31926F83F82A}"/>
    <cellStyle name="20% - Accent6 3 2 2 3" xfId="4511" xr:uid="{73B2140E-2551-4CE0-A997-276F549FBC24}"/>
    <cellStyle name="20% - Accent6 3 2 3" xfId="2325" xr:uid="{969F23C2-3B2F-4F92-96BA-B58367C225A6}"/>
    <cellStyle name="20% - Accent6 3 2 3 2" xfId="4760" xr:uid="{F91DC0C4-AB48-49B6-B58C-E24F9FCFCA93}"/>
    <cellStyle name="20% - Accent6 3 2 4" xfId="3886" xr:uid="{997D49AC-28D0-4DC5-9DA3-190BEBA69AB8}"/>
    <cellStyle name="20% - Accent6 3 3" xfId="1824" xr:uid="{EA9F2BF0-7637-430B-A65A-B6B2AB02AE85}"/>
    <cellStyle name="20% - Accent6 3 3 2" xfId="2662" xr:uid="{3A61757D-1082-4B74-8AC7-9DEC567E744A}"/>
    <cellStyle name="20% - Accent6 3 3 2 2" xfId="5097" xr:uid="{48AD3C59-CFCF-4C1F-81FF-9A2051B5E2AC}"/>
    <cellStyle name="20% - Accent6 3 3 3" xfId="4341" xr:uid="{62318227-B596-4F8D-BB38-6B591C923498}"/>
    <cellStyle name="20% - Accent6 3 4" xfId="2324" xr:uid="{FC852339-ADB8-4F5E-A0CD-97DB78B76527}"/>
    <cellStyle name="20% - Accent6 3 4 2" xfId="4759" xr:uid="{7FEE3C9E-50A4-4670-90F4-B1335D60734C}"/>
    <cellStyle name="20% - Accent6 3 5" xfId="1011" xr:uid="{949DA3A4-504F-499F-951E-89B06CD75A3B}"/>
    <cellStyle name="20% - Accent6 3 5 2" xfId="3885" xr:uid="{8A135F68-F411-4549-8486-0BFC84DE2E78}"/>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2 2 2" xfId="5265" xr:uid="{CF9A8566-14DF-42DC-8F30-A87A025ABCC8}"/>
    <cellStyle name="20% - Accent6 4 2 2 3" xfId="4509" xr:uid="{87E34A21-FA6A-434C-BCE7-EC3FC13BF0CD}"/>
    <cellStyle name="20% - Accent6 4 2 3" xfId="2327" xr:uid="{5028CC10-8F79-42F4-AA4F-14F8812C8659}"/>
    <cellStyle name="20% - Accent6 4 2 3 2" xfId="4762" xr:uid="{3DFA315E-0EE5-427D-A2BA-75D702FB9976}"/>
    <cellStyle name="20% - Accent6 4 2 4" xfId="3888" xr:uid="{5F39E91C-DEE9-4AAE-BBBC-96FD6FEE4350}"/>
    <cellStyle name="20% - Accent6 4 3" xfId="1822" xr:uid="{4E34EB62-5440-42DD-8BB2-B6A5B5AA818A}"/>
    <cellStyle name="20% - Accent6 4 3 2" xfId="2660" xr:uid="{DA677DDD-626D-4ABD-9AD8-40C33D5EA3D7}"/>
    <cellStyle name="20% - Accent6 4 3 2 2" xfId="5095" xr:uid="{15E27458-E25C-4A2C-801C-2FA22CF466A1}"/>
    <cellStyle name="20% - Accent6 4 3 3" xfId="4339" xr:uid="{5A763E22-205A-478C-B99A-E3BA57D5EB60}"/>
    <cellStyle name="20% - Accent6 4 4" xfId="2326" xr:uid="{9F4BA4ED-C76C-40B3-A529-40F93C5044D5}"/>
    <cellStyle name="20% - Accent6 4 4 2" xfId="4761" xr:uid="{AF8BE3ED-A36C-470D-B949-3267192289C3}"/>
    <cellStyle name="20% - Accent6 4 5" xfId="1013" xr:uid="{9835A1A3-582B-4CC5-BEB3-3F9F0E66E2FC}"/>
    <cellStyle name="20% - Accent6 4 5 2" xfId="3887" xr:uid="{E7279F50-AF90-4376-9B6F-4E673E898393}"/>
    <cellStyle name="20% - Accent6 5" xfId="246" xr:uid="{00000000-0005-0000-0000-000031000000}"/>
    <cellStyle name="20% - Accent6 5 2" xfId="1964" xr:uid="{C4A807BD-1441-4A64-B357-61DF14CEDC7F}"/>
    <cellStyle name="20% - Accent6 5 2 2" xfId="2802" xr:uid="{806E15D8-A54D-4A6E-9772-D01A7672815B}"/>
    <cellStyle name="20% - Accent6 5 2 2 2" xfId="5237" xr:uid="{E20E59F7-2901-47B4-90A6-67783099AC5F}"/>
    <cellStyle name="20% - Accent6 5 2 3" xfId="4481" xr:uid="{8E2C9663-AE93-4753-A264-E807C883A62F}"/>
    <cellStyle name="20% - Accent6 5 3" xfId="2328" xr:uid="{0621E947-548F-4EE2-99F6-CCF6F1B65603}"/>
    <cellStyle name="20% - Accent6 5 3 2" xfId="4763" xr:uid="{ACC09F02-37B4-4B09-9DE4-4092C202DCCB}"/>
    <cellStyle name="20% - Accent6 5 4" xfId="1015" xr:uid="{4621D1A5-CB6A-48BB-8500-CA57A2AD7313}"/>
    <cellStyle name="20% - Accent6 5 4 2" xfId="3889" xr:uid="{54486E86-02B7-41AB-9D64-7C4D5340CC03}"/>
    <cellStyle name="20% - Accent6 6" xfId="295" xr:uid="{00000000-0005-0000-0000-000032000000}"/>
    <cellStyle name="20% - Accent6 6 2" xfId="2632" xr:uid="{22D31A18-E558-42D0-8E06-9901EE55CA19}"/>
    <cellStyle name="20% - Accent6 6 2 2" xfId="5067" xr:uid="{5B87FEA5-72D1-4903-B335-65AB4C35EF5C}"/>
    <cellStyle name="20% - Accent6 6 3" xfId="1794" xr:uid="{E6EBB1C7-654C-4277-89B4-491E8CD6B2C3}"/>
    <cellStyle name="20% - Accent6 6 3 2" xfId="4311" xr:uid="{D1063137-A923-4D90-9B61-FCAA318855CE}"/>
    <cellStyle name="20% - Accent6 7" xfId="359" xr:uid="{00000000-0005-0000-0000-000033000000}"/>
    <cellStyle name="20% - Accent6 7 2" xfId="2979" xr:uid="{1D4239AF-0E88-411D-B0C6-31687C78CA14}"/>
    <cellStyle name="20% - Accent6 7 2 2" xfId="5414" xr:uid="{552859F0-BB5A-4E9F-9012-76EF315ED881}"/>
    <cellStyle name="20% - Accent6 7 3" xfId="2141" xr:uid="{451580E6-A980-4075-9D43-10BF72B6A4CC}"/>
    <cellStyle name="20% - Accent6 7 3 2" xfId="4658" xr:uid="{C465DDD3-7035-44CC-A139-BBB3173BAF65}"/>
    <cellStyle name="20% - Accent6 8" xfId="430" xr:uid="{00000000-0005-0000-0000-000034000000}"/>
    <cellStyle name="20% - Accent6 8 2" xfId="2170" xr:uid="{9F0149A4-331C-43E7-A5AD-DBED7B7EDFB2}"/>
    <cellStyle name="20% - Accent6 8 2 2" xfId="4671" xr:uid="{818EC89C-84A0-4752-9EA2-C1985C476E52}"/>
    <cellStyle name="20% - Accent6 9" xfId="534" xr:uid="{00000000-0005-0000-0000-000035000000}"/>
    <cellStyle name="20% - Accent6 9 2" xfId="2184" xr:uid="{B0835F1C-8ADD-4FC2-956F-2355BE589A25}"/>
    <cellStyle name="20% - Accent6 9 2 2" xfId="4685" xr:uid="{81885053-AE07-43EE-8191-1B98F57CEBA0}"/>
    <cellStyle name="40% - Accent1" xfId="7" builtinId="31" customBuiltin="1"/>
    <cellStyle name="40% - Accent1 10" xfId="2616" xr:uid="{8DCF070A-6C11-487D-BFBD-3D35B39B9F92}"/>
    <cellStyle name="40% - Accent1 10 2" xfId="5051" xr:uid="{9832DBC0-357D-4D3B-90CF-9E606EECB899}"/>
    <cellStyle name="40% - Accent1 11" xfId="944" xr:uid="{46097E77-5F1A-4B07-AE71-FAFFE50481D3}"/>
    <cellStyle name="40% - Accent1 11 2" xfId="3840" xr:uid="{3E771EAA-1729-4A37-8AF3-FB219A90044D}"/>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2 2 2" xfId="5269" xr:uid="{281C139D-322A-417C-A280-3D7CD37572E6}"/>
    <cellStyle name="40% - Accent1 2 3 2 2 3" xfId="4513" xr:uid="{3E42D775-0DFA-4673-986B-BB5F1C629B1C}"/>
    <cellStyle name="40% - Accent1 2 3 2 3" xfId="2330" xr:uid="{55C66B1D-61A6-42B8-BB57-CB269C402D79}"/>
    <cellStyle name="40% - Accent1 2 3 2 3 2" xfId="4765" xr:uid="{B4D17EA6-795B-4437-BCA2-3588FEC9E177}"/>
    <cellStyle name="40% - Accent1 2 3 2 4" xfId="3891" xr:uid="{97A5CD8D-9080-4400-9C41-E55A5B5D0506}"/>
    <cellStyle name="40% - Accent1 2 3 3" xfId="1826" xr:uid="{B9432942-8463-453B-8802-AA2CDBDB5784}"/>
    <cellStyle name="40% - Accent1 2 3 3 2" xfId="2664" xr:uid="{D7FC95AD-F906-4945-980F-972E3AC29BFF}"/>
    <cellStyle name="40% - Accent1 2 3 3 2 2" xfId="5099" xr:uid="{5D2D9C3C-080E-4E95-895A-2748AB24E3C9}"/>
    <cellStyle name="40% - Accent1 2 3 3 3" xfId="4343" xr:uid="{3FF4E9B2-4529-4BC4-82AC-B0074EADC44D}"/>
    <cellStyle name="40% - Accent1 2 3 4" xfId="2329" xr:uid="{3FBA806A-E593-477C-A3AD-B2E19FDD9E5E}"/>
    <cellStyle name="40% - Accent1 2 3 4 2" xfId="4764" xr:uid="{4E775B0E-BA31-449C-BF97-BCA48D24408D}"/>
    <cellStyle name="40% - Accent1 2 3 5" xfId="3890" xr:uid="{540BAFC4-EF50-4A83-B862-F88A3283CFD6}"/>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2 2 2" xfId="5270" xr:uid="{6863D2C5-EE8A-4F6F-9DF0-9169BF337B86}"/>
    <cellStyle name="40% - Accent1 3 2 2 3" xfId="4514" xr:uid="{9BAD4EE6-51B6-41F5-91A8-74F8E253EEDE}"/>
    <cellStyle name="40% - Accent1 3 2 3" xfId="2332" xr:uid="{7818673E-111F-4712-8F55-9203627E9E64}"/>
    <cellStyle name="40% - Accent1 3 2 3 2" xfId="4767" xr:uid="{CD0BB43D-DB52-4B2D-A39A-D1099005A44F}"/>
    <cellStyle name="40% - Accent1 3 2 4" xfId="3893" xr:uid="{0F2A771F-21ED-40A7-85E1-887715581B07}"/>
    <cellStyle name="40% - Accent1 3 3" xfId="1827" xr:uid="{12EAA968-45E3-4A12-AAFC-A166182F278F}"/>
    <cellStyle name="40% - Accent1 3 3 2" xfId="2665" xr:uid="{C78DA72A-A91C-423D-A85C-FE7612BFD611}"/>
    <cellStyle name="40% - Accent1 3 3 2 2" xfId="5100" xr:uid="{EC970F49-32CF-487C-8D33-1F83D2847AFB}"/>
    <cellStyle name="40% - Accent1 3 3 3" xfId="4344" xr:uid="{73B316DB-FE24-4E3C-B427-F361C557482E}"/>
    <cellStyle name="40% - Accent1 3 4" xfId="2331" xr:uid="{6E5D48A6-D5C8-43AA-9B31-772799AB031B}"/>
    <cellStyle name="40% - Accent1 3 4 2" xfId="4766" xr:uid="{487E860D-ACAD-4A02-B72E-22E4F81B6116}"/>
    <cellStyle name="40% - Accent1 3 5" xfId="1020" xr:uid="{FF522930-8B14-4E28-8E4A-BB5ED8305E8E}"/>
    <cellStyle name="40% - Accent1 3 5 2" xfId="3892" xr:uid="{BF1C0A06-CE90-4425-B55C-9EB080F185B3}"/>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2 2 2" xfId="5268" xr:uid="{58278A91-AEC1-4145-8349-F19CE5F8D428}"/>
    <cellStyle name="40% - Accent1 4 2 2 3" xfId="4512" xr:uid="{AEF84FA0-940C-46A2-8747-BB962BD5D022}"/>
    <cellStyle name="40% - Accent1 4 2 3" xfId="2334" xr:uid="{42B24712-EF83-4749-8AB1-3FB5AAC83AA2}"/>
    <cellStyle name="40% - Accent1 4 2 3 2" xfId="4769" xr:uid="{6C11AE4D-356F-4F57-AEFA-C8A925CEC94C}"/>
    <cellStyle name="40% - Accent1 4 2 4" xfId="3895" xr:uid="{EF37CAAA-5790-4E1A-A21A-E5141875935A}"/>
    <cellStyle name="40% - Accent1 4 3" xfId="1825" xr:uid="{4D5FCDA6-F22E-4E53-BAB4-3D2999636ED7}"/>
    <cellStyle name="40% - Accent1 4 3 2" xfId="2663" xr:uid="{6831E5E7-98ED-4212-814C-282CF515E354}"/>
    <cellStyle name="40% - Accent1 4 3 2 2" xfId="5098" xr:uid="{FC8CCE56-6E45-42F1-AE55-D74BEF0FD3E1}"/>
    <cellStyle name="40% - Accent1 4 3 3" xfId="4342" xr:uid="{726245DD-A7AC-4956-9DB1-E14E5A906021}"/>
    <cellStyle name="40% - Accent1 4 4" xfId="2333" xr:uid="{92A1FEFF-F629-41EC-B43C-36C71232A3E0}"/>
    <cellStyle name="40% - Accent1 4 4 2" xfId="4768" xr:uid="{BC28C5CB-5992-4218-9E38-E76E1E37DC58}"/>
    <cellStyle name="40% - Accent1 4 5" xfId="1022" xr:uid="{A22BB37C-CB2B-478D-807B-8FE7BF86C5E7}"/>
    <cellStyle name="40% - Accent1 4 5 2" xfId="3894" xr:uid="{D7D315DD-20EC-44F0-B080-776F27C2EE9D}"/>
    <cellStyle name="40% - Accent1 5" xfId="247" xr:uid="{00000000-0005-0000-0000-00003A000000}"/>
    <cellStyle name="40% - Accent1 5 2" xfId="1965" xr:uid="{58C80BFF-42C7-4126-BAA6-119CEBA75570}"/>
    <cellStyle name="40% - Accent1 5 2 2" xfId="2803" xr:uid="{DF6CD9D2-F7E2-475C-8B4F-015AA8A4DA14}"/>
    <cellStyle name="40% - Accent1 5 2 2 2" xfId="5238" xr:uid="{22325EC8-EB99-41C9-8A1D-684E407B061E}"/>
    <cellStyle name="40% - Accent1 5 2 3" xfId="4482" xr:uid="{CCB9A425-59E6-457A-99FA-47E414E8B555}"/>
    <cellStyle name="40% - Accent1 5 3" xfId="2335" xr:uid="{0C00D2A3-64B5-4CCF-9C89-79857C6CF382}"/>
    <cellStyle name="40% - Accent1 5 3 2" xfId="4770" xr:uid="{41C87991-2D38-48B7-A891-9E2B4C7FB789}"/>
    <cellStyle name="40% - Accent1 5 4" xfId="1024" xr:uid="{1DA25C8A-EFCF-4CD2-A4CB-0EFAB4A69DC5}"/>
    <cellStyle name="40% - Accent1 5 4 2" xfId="3896" xr:uid="{132E7D38-795B-4B28-A2B8-1C3746543887}"/>
    <cellStyle name="40% - Accent1 6" xfId="296" xr:uid="{00000000-0005-0000-0000-00003B000000}"/>
    <cellStyle name="40% - Accent1 6 2" xfId="2633" xr:uid="{D952AC11-1B1F-42FD-975A-1AD990526C1B}"/>
    <cellStyle name="40% - Accent1 6 2 2" xfId="5068" xr:uid="{1F6DCBA6-01AD-4A4A-B500-99156671DD02}"/>
    <cellStyle name="40% - Accent1 6 3" xfId="1795" xr:uid="{56E05594-FA1E-4647-B277-307FDA961CF2}"/>
    <cellStyle name="40% - Accent1 6 3 2" xfId="4312" xr:uid="{A0F900EF-A3FE-4B0D-B4BA-92B8EA46EF61}"/>
    <cellStyle name="40% - Accent1 7" xfId="360" xr:uid="{00000000-0005-0000-0000-00003C000000}"/>
    <cellStyle name="40% - Accent1 7 2" xfId="2970" xr:uid="{336063C9-E1F0-4D0B-8A93-DDEE942B6C77}"/>
    <cellStyle name="40% - Accent1 7 2 2" xfId="5405" xr:uid="{FC0B442D-1059-4EE8-B21C-742C098A17A7}"/>
    <cellStyle name="40% - Accent1 7 3" xfId="2132" xr:uid="{9A52F3B6-521F-40F9-9248-D65415BD5E99}"/>
    <cellStyle name="40% - Accent1 7 3 2" xfId="4649" xr:uid="{9E91A0AC-97EF-4F4F-A0D2-0D5263FA2446}"/>
    <cellStyle name="40% - Accent1 8" xfId="431" xr:uid="{00000000-0005-0000-0000-00003D000000}"/>
    <cellStyle name="40% - Accent1 8 2" xfId="2161" xr:uid="{446425C6-AD67-4B85-92C7-39C2BF478FD3}"/>
    <cellStyle name="40% - Accent1 8 2 2" xfId="4662" xr:uid="{0184520C-7DF5-44F9-8DB7-D8689330376F}"/>
    <cellStyle name="40% - Accent1 9" xfId="535" xr:uid="{00000000-0005-0000-0000-00003E000000}"/>
    <cellStyle name="40% - Accent1 9 2" xfId="2175" xr:uid="{4A54814F-EC79-4125-A046-4E0F4D9EF67B}"/>
    <cellStyle name="40% - Accent1 9 2 2" xfId="4676" xr:uid="{6A15A2DC-10A4-4C59-B516-EFB4DE783A09}"/>
    <cellStyle name="40% - Accent2" xfId="8" builtinId="35" customBuiltin="1"/>
    <cellStyle name="40% - Accent2 10" xfId="2618" xr:uid="{4ED8CBBC-0D55-4F26-B119-846424F4CA95}"/>
    <cellStyle name="40% - Accent2 10 2" xfId="5053" xr:uid="{6B354EB2-ED62-41F3-9F2F-16CC62724C5B}"/>
    <cellStyle name="40% - Accent2 11" xfId="893" xr:uid="{D6CC90F6-0DF7-49B8-A513-9DD4961A0502}"/>
    <cellStyle name="40% - Accent2 11 2" xfId="3824" xr:uid="{06EF7812-1EE3-46B0-AA4E-CEBCC7395DC6}"/>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2 2 2" xfId="5272" xr:uid="{220B7851-665C-4EAC-A76E-F41A6E1E654A}"/>
    <cellStyle name="40% - Accent2 2 3 2 2 3" xfId="4516" xr:uid="{F6AD9080-D777-4294-9AB0-839F66A77510}"/>
    <cellStyle name="40% - Accent2 2 3 2 3" xfId="2337" xr:uid="{FDDC75C2-50C9-48D5-91C8-FB9B4F8BB5BF}"/>
    <cellStyle name="40% - Accent2 2 3 2 3 2" xfId="4772" xr:uid="{2DFFDAC0-CDB2-4DFB-B0B1-05F175933176}"/>
    <cellStyle name="40% - Accent2 2 3 2 4" xfId="3898" xr:uid="{E5D341C4-C700-4827-B908-C33771C46A39}"/>
    <cellStyle name="40% - Accent2 2 3 3" xfId="1829" xr:uid="{CE441B61-9CA3-42A6-9CF0-09C2530BD27E}"/>
    <cellStyle name="40% - Accent2 2 3 3 2" xfId="2667" xr:uid="{E9789472-8691-4150-B608-79D41C1601FE}"/>
    <cellStyle name="40% - Accent2 2 3 3 2 2" xfId="5102" xr:uid="{74CAE5EE-61D1-4B15-9C66-32845134B057}"/>
    <cellStyle name="40% - Accent2 2 3 3 3" xfId="4346" xr:uid="{31958467-638A-4070-A61C-BC354B628BE5}"/>
    <cellStyle name="40% - Accent2 2 3 4" xfId="2336" xr:uid="{F0DE6004-854A-42D2-8D1E-14BAD10469BC}"/>
    <cellStyle name="40% - Accent2 2 3 4 2" xfId="4771" xr:uid="{E69C30D3-DE74-4DA4-B9CA-DD90AF2D600B}"/>
    <cellStyle name="40% - Accent2 2 3 5" xfId="3897" xr:uid="{25B1009B-FEB4-45D2-9F7E-631C72A6D1CE}"/>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2 2 2" xfId="5273" xr:uid="{BE14042F-7F8F-4969-AD34-29DF1EAFB943}"/>
    <cellStyle name="40% - Accent2 3 2 2 3" xfId="4517" xr:uid="{798BD15A-B058-458F-9B97-093747010DB1}"/>
    <cellStyle name="40% - Accent2 3 2 3" xfId="2339" xr:uid="{358ACF96-D8BB-426E-9EF4-7C19C5E69CBB}"/>
    <cellStyle name="40% - Accent2 3 2 3 2" xfId="4774" xr:uid="{AA503A31-3B49-4A17-8010-157F30B2130F}"/>
    <cellStyle name="40% - Accent2 3 2 4" xfId="3900" xr:uid="{9B2868B2-AA86-4909-9E4C-C564A6897B6A}"/>
    <cellStyle name="40% - Accent2 3 3" xfId="1830" xr:uid="{8FAF9D24-EACF-4860-9C7E-45EA276D9B71}"/>
    <cellStyle name="40% - Accent2 3 3 2" xfId="2668" xr:uid="{9B7490B5-40BB-446A-8CB6-D30DBA58E466}"/>
    <cellStyle name="40% - Accent2 3 3 2 2" xfId="5103" xr:uid="{28F23F5C-DFDF-4222-8361-C97684560A1A}"/>
    <cellStyle name="40% - Accent2 3 3 3" xfId="4347" xr:uid="{155847CA-D9B8-4EDC-BD9E-972CBEDE8CB6}"/>
    <cellStyle name="40% - Accent2 3 4" xfId="2338" xr:uid="{3629ABE5-6672-4DFD-8EA0-15587EA23525}"/>
    <cellStyle name="40% - Accent2 3 4 2" xfId="4773" xr:uid="{E26E60E0-0022-4FEF-B027-1B539A90BCDA}"/>
    <cellStyle name="40% - Accent2 3 5" xfId="1029" xr:uid="{3B09D580-820C-49FB-81A3-01EFBA75B48F}"/>
    <cellStyle name="40% - Accent2 3 5 2" xfId="3899" xr:uid="{C2D2ECE5-3CC2-45A4-8C29-19D1FB6E183B}"/>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2 2 2" xfId="5271" xr:uid="{CE3EB828-DD84-4F78-873C-28F1F107D3F2}"/>
    <cellStyle name="40% - Accent2 4 2 2 3" xfId="4515" xr:uid="{26C500D4-1C15-4DDF-95BE-E78A189A0E47}"/>
    <cellStyle name="40% - Accent2 4 2 3" xfId="2341" xr:uid="{B39BC855-4F75-40C9-B574-7E5834953957}"/>
    <cellStyle name="40% - Accent2 4 2 3 2" xfId="4776" xr:uid="{D253577F-0005-4962-901F-F036FDF77AA5}"/>
    <cellStyle name="40% - Accent2 4 2 4" xfId="3902" xr:uid="{CB96834B-5B2C-4BA6-82B8-155074D8C052}"/>
    <cellStyle name="40% - Accent2 4 3" xfId="1828" xr:uid="{D2E37A67-86B6-4258-8CF7-3FBD20E638BF}"/>
    <cellStyle name="40% - Accent2 4 3 2" xfId="2666" xr:uid="{253A0C2D-EB5A-47C9-936E-4EAAD8078C74}"/>
    <cellStyle name="40% - Accent2 4 3 2 2" xfId="5101" xr:uid="{5FED8C17-0019-4928-AE60-8810BE3B1FF4}"/>
    <cellStyle name="40% - Accent2 4 3 3" xfId="4345" xr:uid="{727D9186-61AE-4B92-9040-7A60B85EB28A}"/>
    <cellStyle name="40% - Accent2 4 4" xfId="2340" xr:uid="{2B579A92-8853-4B2D-A889-742FAADED4CE}"/>
    <cellStyle name="40% - Accent2 4 4 2" xfId="4775" xr:uid="{1639C33C-E146-4481-AD7F-8280A82916A2}"/>
    <cellStyle name="40% - Accent2 4 5" xfId="1031" xr:uid="{0E944379-D451-43BF-BF64-4870F4FAEEF1}"/>
    <cellStyle name="40% - Accent2 4 5 2" xfId="3901" xr:uid="{3928FD80-0E91-4704-9589-96AD8BB28245}"/>
    <cellStyle name="40% - Accent2 5" xfId="248" xr:uid="{00000000-0005-0000-0000-000043000000}"/>
    <cellStyle name="40% - Accent2 5 2" xfId="1966" xr:uid="{F4E17101-50B3-41ED-BB4D-641C96D86CED}"/>
    <cellStyle name="40% - Accent2 5 2 2" xfId="2804" xr:uid="{57F9DBBA-BECF-48E1-8CC2-5F1149710052}"/>
    <cellStyle name="40% - Accent2 5 2 2 2" xfId="5239" xr:uid="{DB9380B4-8633-4EFB-996B-EAA6042A7DF6}"/>
    <cellStyle name="40% - Accent2 5 2 3" xfId="4483" xr:uid="{DFC0BF43-EE48-4AF0-B402-A4F675E512A0}"/>
    <cellStyle name="40% - Accent2 5 3" xfId="2342" xr:uid="{204C8AEF-F453-46A4-98E9-999A1C6C5EF7}"/>
    <cellStyle name="40% - Accent2 5 3 2" xfId="4777" xr:uid="{17C2A9F3-01AD-4BA0-8D49-BFC7A24740AC}"/>
    <cellStyle name="40% - Accent2 5 4" xfId="1033" xr:uid="{BCC49285-3421-4C7C-80B3-0ED30D6AABD8}"/>
    <cellStyle name="40% - Accent2 5 4 2" xfId="3903" xr:uid="{BFB33BBC-BBDE-403F-B56B-1333CEB4B97C}"/>
    <cellStyle name="40% - Accent2 6" xfId="297" xr:uid="{00000000-0005-0000-0000-000044000000}"/>
    <cellStyle name="40% - Accent2 6 2" xfId="2634" xr:uid="{85F7B6F5-D95E-4D94-82BB-E7D0DA33D648}"/>
    <cellStyle name="40% - Accent2 6 2 2" xfId="5069" xr:uid="{2FE7A053-8174-4F58-9D3D-B6BD049B7ACB}"/>
    <cellStyle name="40% - Accent2 6 3" xfId="1796" xr:uid="{E15BB069-C0DC-4BC4-95EB-E54BF7CD2FBA}"/>
    <cellStyle name="40% - Accent2 6 3 2" xfId="4313" xr:uid="{1C1D7A6E-7F13-40C8-AC22-628F74A89A0F}"/>
    <cellStyle name="40% - Accent2 7" xfId="361" xr:uid="{00000000-0005-0000-0000-000045000000}"/>
    <cellStyle name="40% - Accent2 7 2" xfId="2972" xr:uid="{E6E563E8-0CBF-4BBC-ACC2-A09A31F533A9}"/>
    <cellStyle name="40% - Accent2 7 2 2" xfId="5407" xr:uid="{34D1700C-5B1F-4825-81B6-8147F3EDB03D}"/>
    <cellStyle name="40% - Accent2 7 3" xfId="2134" xr:uid="{C1422F2F-CEE7-4A3C-99AC-C1E5168BBFFF}"/>
    <cellStyle name="40% - Accent2 7 3 2" xfId="4651" xr:uid="{FE95389A-4AA5-494C-9429-342506B46E90}"/>
    <cellStyle name="40% - Accent2 8" xfId="432" xr:uid="{00000000-0005-0000-0000-000046000000}"/>
    <cellStyle name="40% - Accent2 8 2" xfId="2163" xr:uid="{C9041BBB-5899-4B75-83E2-84C6BC5BA982}"/>
    <cellStyle name="40% - Accent2 8 2 2" xfId="4664" xr:uid="{08BEE4BC-2179-40C9-90B5-F3BABDA6695C}"/>
    <cellStyle name="40% - Accent2 9" xfId="536" xr:uid="{00000000-0005-0000-0000-000047000000}"/>
    <cellStyle name="40% - Accent2 9 2" xfId="2177" xr:uid="{21DC29D4-E009-49F0-8C87-AB9B553F1698}"/>
    <cellStyle name="40% - Accent2 9 2 2" xfId="4678" xr:uid="{6A175A0C-E4F2-4BC3-812D-36A3D0039C36}"/>
    <cellStyle name="40% - Accent3" xfId="9" builtinId="39" customBuiltin="1"/>
    <cellStyle name="40% - Accent3 10" xfId="2620" xr:uid="{D03705F1-283D-4103-9DF2-44F8014E5DF1}"/>
    <cellStyle name="40% - Accent3 10 2" xfId="5055" xr:uid="{948B8219-D7AF-4B5F-9641-7848751D194C}"/>
    <cellStyle name="40% - Accent3 11" xfId="894" xr:uid="{BEB4EAE7-F034-4700-B2F3-ED68D2F135C6}"/>
    <cellStyle name="40% - Accent3 11 2" xfId="3825" xr:uid="{4AF76F72-7D4B-4EEF-A5BB-2270C2BFC5C3}"/>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2 2 2" xfId="5275" xr:uid="{022247CA-CC1C-476E-A328-32253C6D5334}"/>
    <cellStyle name="40% - Accent3 2 3 2 2 3" xfId="4519" xr:uid="{025EA318-10F9-49B4-92C8-540CFD59D7F6}"/>
    <cellStyle name="40% - Accent3 2 3 2 3" xfId="2344" xr:uid="{F8E39E6D-0DBF-45A4-AF43-CDBEE7638C0F}"/>
    <cellStyle name="40% - Accent3 2 3 2 3 2" xfId="4779" xr:uid="{890C54AA-19C6-4CDE-BC24-6A10265CF5D1}"/>
    <cellStyle name="40% - Accent3 2 3 2 4" xfId="3905" xr:uid="{2E744821-A0BD-4686-8BDB-82ECF086AAC8}"/>
    <cellStyle name="40% - Accent3 2 3 3" xfId="1832" xr:uid="{55082156-81C0-4F26-A75D-1E29F3B5C755}"/>
    <cellStyle name="40% - Accent3 2 3 3 2" xfId="2670" xr:uid="{F2C5545B-687B-4D58-AD4F-EF8346D9470F}"/>
    <cellStyle name="40% - Accent3 2 3 3 2 2" xfId="5105" xr:uid="{075E7CAC-6FD8-4C64-844B-B15C0A3C92FD}"/>
    <cellStyle name="40% - Accent3 2 3 3 3" xfId="4349" xr:uid="{7CD86003-E336-4707-9DEC-D04A337E277E}"/>
    <cellStyle name="40% - Accent3 2 3 4" xfId="2343" xr:uid="{3D0B2A48-1D5B-4EB2-A0F8-5D5941A31C71}"/>
    <cellStyle name="40% - Accent3 2 3 4 2" xfId="4778" xr:uid="{8C7CF4CB-5A79-4A22-80AA-CC906882CA9F}"/>
    <cellStyle name="40% - Accent3 2 3 5" xfId="3904" xr:uid="{1EEBCA4B-8F7D-4867-A9DB-58B5A805FFFE}"/>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2 2 2" xfId="5276" xr:uid="{86A0D762-E7D5-4C66-890A-71689B47E8F4}"/>
    <cellStyle name="40% - Accent3 3 2 2 3" xfId="4520" xr:uid="{B58E5B51-36D8-431D-91FA-B292E021B999}"/>
    <cellStyle name="40% - Accent3 3 2 3" xfId="2346" xr:uid="{48C9B6CC-9987-4A3B-99B7-95E7FBB006DB}"/>
    <cellStyle name="40% - Accent3 3 2 3 2" xfId="4781" xr:uid="{45FC9F42-E41C-4661-993A-EDA5135AF14A}"/>
    <cellStyle name="40% - Accent3 3 2 4" xfId="3907" xr:uid="{9D872CCD-8C4D-42C9-9747-5E4B3CF499ED}"/>
    <cellStyle name="40% - Accent3 3 3" xfId="1833" xr:uid="{BE366B6A-1996-41E1-B78B-72CB0D0BA5E7}"/>
    <cellStyle name="40% - Accent3 3 3 2" xfId="2671" xr:uid="{7415228F-059D-4799-AC19-08EDF39B9B03}"/>
    <cellStyle name="40% - Accent3 3 3 2 2" xfId="5106" xr:uid="{C0C38D83-E71E-4492-A7F6-F5AE5094D4C1}"/>
    <cellStyle name="40% - Accent3 3 3 3" xfId="4350" xr:uid="{455C83FE-E051-47CA-84DB-C834DE858E40}"/>
    <cellStyle name="40% - Accent3 3 4" xfId="2345" xr:uid="{B7D69C59-D338-4C6F-8D7D-127038B27552}"/>
    <cellStyle name="40% - Accent3 3 4 2" xfId="4780" xr:uid="{38AF1530-2432-49A8-AA1A-2C088372EBC5}"/>
    <cellStyle name="40% - Accent3 3 5" xfId="1038" xr:uid="{12D06056-74D5-46A2-A626-D19A80418A6E}"/>
    <cellStyle name="40% - Accent3 3 5 2" xfId="3906" xr:uid="{0EAD8279-85BF-421F-AC7C-CFF4E33CC5D4}"/>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2 2 2" xfId="5274" xr:uid="{7526066C-146F-4F62-961B-A823554B831B}"/>
    <cellStyle name="40% - Accent3 4 2 2 3" xfId="4518" xr:uid="{7186C668-0A8E-4415-AD08-BAAAECC6FC3E}"/>
    <cellStyle name="40% - Accent3 4 2 3" xfId="2348" xr:uid="{0E927B08-B40B-4E3A-90BD-3749085F3694}"/>
    <cellStyle name="40% - Accent3 4 2 3 2" xfId="4783" xr:uid="{90F7E248-DF7D-4D10-89CA-7767F5CF34B9}"/>
    <cellStyle name="40% - Accent3 4 2 4" xfId="3909" xr:uid="{5708B07D-B056-422B-A1CC-22EE7F50643A}"/>
    <cellStyle name="40% - Accent3 4 3" xfId="1831" xr:uid="{5F5418D4-8788-46D2-92F8-16A37417670A}"/>
    <cellStyle name="40% - Accent3 4 3 2" xfId="2669" xr:uid="{ED4CAA7C-14F0-4B84-B447-0541164181E4}"/>
    <cellStyle name="40% - Accent3 4 3 2 2" xfId="5104" xr:uid="{CA347DE7-F313-40CC-939D-0CC533D8B2BF}"/>
    <cellStyle name="40% - Accent3 4 3 3" xfId="4348" xr:uid="{1DFFCB72-8E6D-4070-83B5-2B899C9B268D}"/>
    <cellStyle name="40% - Accent3 4 4" xfId="2347" xr:uid="{063EFA8E-DEDB-4B3E-B889-C26731A4688C}"/>
    <cellStyle name="40% - Accent3 4 4 2" xfId="4782" xr:uid="{F381EABD-8BB6-4E53-BAF6-9851B3CE65B5}"/>
    <cellStyle name="40% - Accent3 4 5" xfId="1040" xr:uid="{F43464E9-CC0D-4003-93DE-6B26DEEB3C4C}"/>
    <cellStyle name="40% - Accent3 4 5 2" xfId="3908" xr:uid="{9264628C-766E-4567-A64B-CCE186A8A31A}"/>
    <cellStyle name="40% - Accent3 5" xfId="249" xr:uid="{00000000-0005-0000-0000-00004C000000}"/>
    <cellStyle name="40% - Accent3 5 2" xfId="1967" xr:uid="{5717DCE0-A95D-478B-80E6-CDBC54F62C66}"/>
    <cellStyle name="40% - Accent3 5 2 2" xfId="2805" xr:uid="{2D4CE687-B75B-48CA-8FF4-F33E7BAA443B}"/>
    <cellStyle name="40% - Accent3 5 2 2 2" xfId="5240" xr:uid="{50F22E40-1F0D-4F62-AC3B-FED120659208}"/>
    <cellStyle name="40% - Accent3 5 2 3" xfId="4484" xr:uid="{4200D24B-2274-482D-8484-9F22878B0C94}"/>
    <cellStyle name="40% - Accent3 5 3" xfId="2349" xr:uid="{3F121369-597C-4A67-AA71-41EEF23B1591}"/>
    <cellStyle name="40% - Accent3 5 3 2" xfId="4784" xr:uid="{D7730369-F223-4F40-9FA9-DB143AEC5572}"/>
    <cellStyle name="40% - Accent3 5 4" xfId="1042" xr:uid="{30F462C0-1140-4C1D-8578-82CD0FB224D9}"/>
    <cellStyle name="40% - Accent3 5 4 2" xfId="3910" xr:uid="{64112712-1696-4963-971B-11ED0C37E7E9}"/>
    <cellStyle name="40% - Accent3 6" xfId="298" xr:uid="{00000000-0005-0000-0000-00004D000000}"/>
    <cellStyle name="40% - Accent3 6 2" xfId="2635" xr:uid="{85BC891B-CA1C-44DE-AA8C-D00C12FB90A8}"/>
    <cellStyle name="40% - Accent3 6 2 2" xfId="5070" xr:uid="{2635973E-6DB0-419D-B760-2E8DE7A91AE8}"/>
    <cellStyle name="40% - Accent3 6 3" xfId="1797" xr:uid="{900D2738-B04F-407A-9F79-151B4674F5DC}"/>
    <cellStyle name="40% - Accent3 6 3 2" xfId="4314" xr:uid="{1B5D8845-A8A9-4BC9-9596-0A9C10C428A4}"/>
    <cellStyle name="40% - Accent3 7" xfId="362" xr:uid="{00000000-0005-0000-0000-00004E000000}"/>
    <cellStyle name="40% - Accent3 7 2" xfId="2974" xr:uid="{745B1B20-FEF6-4C5E-B17F-61AC42180B1A}"/>
    <cellStyle name="40% - Accent3 7 2 2" xfId="5409" xr:uid="{C005027C-1088-4AAA-8507-F611546F6B28}"/>
    <cellStyle name="40% - Accent3 7 3" xfId="2136" xr:uid="{4677B899-388B-4AD1-98BB-6ABB7E834ACA}"/>
    <cellStyle name="40% - Accent3 7 3 2" xfId="4653" xr:uid="{64C71B14-D5E8-42C4-9F8E-5C97490630DE}"/>
    <cellStyle name="40% - Accent3 8" xfId="433" xr:uid="{00000000-0005-0000-0000-00004F000000}"/>
    <cellStyle name="40% - Accent3 8 2" xfId="2165" xr:uid="{2B3A52B2-2B2F-4EBE-AF86-C04A005C7AC3}"/>
    <cellStyle name="40% - Accent3 8 2 2" xfId="4666" xr:uid="{FB50FEB6-9BCC-4330-90E3-63C96CF31F7A}"/>
    <cellStyle name="40% - Accent3 9" xfId="537" xr:uid="{00000000-0005-0000-0000-000050000000}"/>
    <cellStyle name="40% - Accent3 9 2" xfId="2179" xr:uid="{73225AB0-2279-47EC-A712-98904FB9D3EF}"/>
    <cellStyle name="40% - Accent3 9 2 2" xfId="4680" xr:uid="{A1B89623-A572-4C1B-89F9-95DE440FEEF6}"/>
    <cellStyle name="40% - Accent4" xfId="10" builtinId="43" customBuiltin="1"/>
    <cellStyle name="40% - Accent4 10" xfId="2622" xr:uid="{0E144FDE-7340-4A8F-BA04-96915B70C42A}"/>
    <cellStyle name="40% - Accent4 10 2" xfId="5057" xr:uid="{6DDDD463-32E6-4E32-9BFD-B2CFFAE216DE}"/>
    <cellStyle name="40% - Accent4 11" xfId="914" xr:uid="{44800666-2691-4C94-8A77-A6BFD5C031CE}"/>
    <cellStyle name="40% - Accent4 11 2" xfId="3826" xr:uid="{8AF8C8D4-0D48-417A-8D55-538E6277A251}"/>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2 2 2" xfId="5278" xr:uid="{D9269FC0-2AAF-4245-8802-374E8C5DD7D7}"/>
    <cellStyle name="40% - Accent4 2 3 2 2 3" xfId="4522" xr:uid="{B49AD349-F1D1-4613-91F3-87E6F7975FEB}"/>
    <cellStyle name="40% - Accent4 2 3 2 3" xfId="2351" xr:uid="{20B42E8B-45BF-4C32-93D4-D47AC122F1B6}"/>
    <cellStyle name="40% - Accent4 2 3 2 3 2" xfId="4786" xr:uid="{44A27F71-B69B-4D2A-9F48-2003096D0B74}"/>
    <cellStyle name="40% - Accent4 2 3 2 4" xfId="3912" xr:uid="{CB06680E-5224-4C13-81B8-44E25BEBA332}"/>
    <cellStyle name="40% - Accent4 2 3 3" xfId="1835" xr:uid="{33BF445D-21AB-40A7-A8FE-277878DFD9D4}"/>
    <cellStyle name="40% - Accent4 2 3 3 2" xfId="2673" xr:uid="{9BD9C329-EC2A-4711-BFDB-91D5FA9DFCA6}"/>
    <cellStyle name="40% - Accent4 2 3 3 2 2" xfId="5108" xr:uid="{49CC667D-2F81-4203-A8B9-D85CE6BEBE26}"/>
    <cellStyle name="40% - Accent4 2 3 3 3" xfId="4352" xr:uid="{C7609109-2899-45CA-9116-5E3263EBE3CD}"/>
    <cellStyle name="40% - Accent4 2 3 4" xfId="2350" xr:uid="{AB21A8CC-0921-440E-B973-E650883CC1A5}"/>
    <cellStyle name="40% - Accent4 2 3 4 2" xfId="4785" xr:uid="{15BAC67F-4195-4993-B106-75328B9CC698}"/>
    <cellStyle name="40% - Accent4 2 3 5" xfId="3911" xr:uid="{2D610C7C-9946-4740-AC79-5D277C0F6777}"/>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2 2 2" xfId="5279" xr:uid="{96E1F437-EC4B-49D3-9702-8DEA9929BA19}"/>
    <cellStyle name="40% - Accent4 3 2 2 3" xfId="4523" xr:uid="{A4DC51B5-C43B-4142-BEB4-42BFC3A2BA0A}"/>
    <cellStyle name="40% - Accent4 3 2 3" xfId="2353" xr:uid="{1C6B5577-30F2-40D3-8E64-0E872E02C582}"/>
    <cellStyle name="40% - Accent4 3 2 3 2" xfId="4788" xr:uid="{F69F67D2-781B-47D6-933F-CBBE2CF480B0}"/>
    <cellStyle name="40% - Accent4 3 2 4" xfId="3914" xr:uid="{1BC76346-13EF-4EF2-AB16-96346BA518C2}"/>
    <cellStyle name="40% - Accent4 3 3" xfId="1836" xr:uid="{F761AF9A-854B-4358-9DFC-1DE5E15504EE}"/>
    <cellStyle name="40% - Accent4 3 3 2" xfId="2674" xr:uid="{ACFCFE2A-51F8-4F24-A300-C64969F78A3D}"/>
    <cellStyle name="40% - Accent4 3 3 2 2" xfId="5109" xr:uid="{D0142FA3-8568-4986-B246-14BA19FB4662}"/>
    <cellStyle name="40% - Accent4 3 3 3" xfId="4353" xr:uid="{E2F12815-6CB5-4FD3-9F76-2DE5A911FEDF}"/>
    <cellStyle name="40% - Accent4 3 4" xfId="2352" xr:uid="{13B731E0-8F58-4D7A-B48D-7068F8F65D09}"/>
    <cellStyle name="40% - Accent4 3 4 2" xfId="4787" xr:uid="{36519A12-EB8E-45E2-8C12-12B959173EF8}"/>
    <cellStyle name="40% - Accent4 3 5" xfId="1047" xr:uid="{CFBCF4D9-47BA-4733-B24B-762F3DBA7406}"/>
    <cellStyle name="40% - Accent4 3 5 2" xfId="3913" xr:uid="{D97CD6C7-F85B-454F-B283-511DFEBCB062}"/>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2 2 2" xfId="5277" xr:uid="{8F8BE2F4-5333-4977-B391-C67050FC7896}"/>
    <cellStyle name="40% - Accent4 4 2 2 3" xfId="4521" xr:uid="{1FCEF1FD-B241-44B0-9FBF-8966737C9E8E}"/>
    <cellStyle name="40% - Accent4 4 2 3" xfId="2355" xr:uid="{BA3A3A70-DCAF-4905-9790-DFDA4C4BB1C8}"/>
    <cellStyle name="40% - Accent4 4 2 3 2" xfId="4790" xr:uid="{9C7737D1-4ED0-4BE8-8C84-4257C86EC559}"/>
    <cellStyle name="40% - Accent4 4 2 4" xfId="3916" xr:uid="{9017BD89-8ADC-496B-9869-392129FBF6BE}"/>
    <cellStyle name="40% - Accent4 4 3" xfId="1834" xr:uid="{2FB7EF63-94F1-4365-AFA6-65FC2EA7D67A}"/>
    <cellStyle name="40% - Accent4 4 3 2" xfId="2672" xr:uid="{C127E980-437A-4299-BCDE-DD27759CF322}"/>
    <cellStyle name="40% - Accent4 4 3 2 2" xfId="5107" xr:uid="{AEEA28E9-24EE-4DD8-95C8-EC7CDD19DBE0}"/>
    <cellStyle name="40% - Accent4 4 3 3" xfId="4351" xr:uid="{E1E4DBF4-CF91-43AE-B087-19AED4934A9E}"/>
    <cellStyle name="40% - Accent4 4 4" xfId="2354" xr:uid="{082FCE4E-07D6-46D5-9DDA-EE48BC21EB7A}"/>
    <cellStyle name="40% - Accent4 4 4 2" xfId="4789" xr:uid="{D8CA8ABC-90C8-47F3-A990-5917219D4315}"/>
    <cellStyle name="40% - Accent4 4 5" xfId="1049" xr:uid="{5B05DD0E-D171-4716-8953-DEF3389EFDFB}"/>
    <cellStyle name="40% - Accent4 4 5 2" xfId="3915" xr:uid="{38271523-C291-408E-BC60-52A98533AA32}"/>
    <cellStyle name="40% - Accent4 5" xfId="250" xr:uid="{00000000-0005-0000-0000-000055000000}"/>
    <cellStyle name="40% - Accent4 5 2" xfId="1968" xr:uid="{BD4237AB-1704-44EF-97FE-47480B509987}"/>
    <cellStyle name="40% - Accent4 5 2 2" xfId="2806" xr:uid="{14417774-31F1-42C2-8495-AFA881A73460}"/>
    <cellStyle name="40% - Accent4 5 2 2 2" xfId="5241" xr:uid="{9D68EC30-8199-4F67-AE38-848CCC0E3737}"/>
    <cellStyle name="40% - Accent4 5 2 3" xfId="4485" xr:uid="{BDEBDAC1-017D-4116-86C3-99ED929758E1}"/>
    <cellStyle name="40% - Accent4 5 3" xfId="2356" xr:uid="{3D97A6D3-BE80-46DC-ABA3-805650CA40B1}"/>
    <cellStyle name="40% - Accent4 5 3 2" xfId="4791" xr:uid="{4BC833BB-F107-4396-8DB3-B1BCC4CF26EF}"/>
    <cellStyle name="40% - Accent4 5 4" xfId="1051" xr:uid="{7FED6131-7C86-4745-B80B-08B5E0095669}"/>
    <cellStyle name="40% - Accent4 5 4 2" xfId="3917" xr:uid="{780D1E36-F19F-4D58-BFA7-4B955D39D1D0}"/>
    <cellStyle name="40% - Accent4 6" xfId="299" xr:uid="{00000000-0005-0000-0000-000056000000}"/>
    <cellStyle name="40% - Accent4 6 2" xfId="2636" xr:uid="{5D8D53BD-BB9C-43CC-971F-19E983D06462}"/>
    <cellStyle name="40% - Accent4 6 2 2" xfId="5071" xr:uid="{74CF94B2-F891-4215-BA8B-1C1C9F83D3B1}"/>
    <cellStyle name="40% - Accent4 6 3" xfId="1798" xr:uid="{05F174E9-B5C4-4ED8-80AB-6B711C1713E4}"/>
    <cellStyle name="40% - Accent4 6 3 2" xfId="4315" xr:uid="{E15CC6A0-D88E-4BB8-A72E-E3EBDBB585A7}"/>
    <cellStyle name="40% - Accent4 7" xfId="363" xr:uid="{00000000-0005-0000-0000-000057000000}"/>
    <cellStyle name="40% - Accent4 7 2" xfId="2976" xr:uid="{40FFA76D-0188-4CAC-AA54-D03A58C9BD8D}"/>
    <cellStyle name="40% - Accent4 7 2 2" xfId="5411" xr:uid="{BF72BB01-9015-4838-B3DB-D6F1F6E6691D}"/>
    <cellStyle name="40% - Accent4 7 3" xfId="2138" xr:uid="{6E0875B5-5060-44A8-83FF-53F8EA965182}"/>
    <cellStyle name="40% - Accent4 7 3 2" xfId="4655" xr:uid="{FCB57EDD-ECF8-439A-820C-A1576E667909}"/>
    <cellStyle name="40% - Accent4 8" xfId="434" xr:uid="{00000000-0005-0000-0000-000058000000}"/>
    <cellStyle name="40% - Accent4 8 2" xfId="2167" xr:uid="{C07DF2F1-D637-4040-88B1-44F9BF5A4813}"/>
    <cellStyle name="40% - Accent4 8 2 2" xfId="4668" xr:uid="{65338133-8849-4FE6-B160-C2A17770FA8E}"/>
    <cellStyle name="40% - Accent4 9" xfId="538" xr:uid="{00000000-0005-0000-0000-000059000000}"/>
    <cellStyle name="40% - Accent4 9 2" xfId="2181" xr:uid="{272F4A23-11DA-482D-B721-81F1FE611EE5}"/>
    <cellStyle name="40% - Accent4 9 2 2" xfId="4682" xr:uid="{1D0315DB-449E-47BC-BF05-E1CF3B8CBEAB}"/>
    <cellStyle name="40% - Accent5" xfId="11" builtinId="47" customBuiltin="1"/>
    <cellStyle name="40% - Accent5 10" xfId="2624" xr:uid="{BEA96B51-3F59-4ACC-959B-EFCE2376E587}"/>
    <cellStyle name="40% - Accent5 10 2" xfId="5059" xr:uid="{591A4C8F-60B8-49DB-BE7F-A541E80B4DC3}"/>
    <cellStyle name="40% - Accent5 11" xfId="956" xr:uid="{F7B0C202-3EB2-4AAD-BCAF-EEF1A4C74832}"/>
    <cellStyle name="40% - Accent5 11 2" xfId="3847" xr:uid="{16695F4D-7DBA-4FF3-B6F2-E1F8C3983214}"/>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2 2 2" xfId="5281" xr:uid="{F3EE5566-7C19-4ADA-A033-F8943A00C09E}"/>
    <cellStyle name="40% - Accent5 2 3 2 2 3" xfId="4525" xr:uid="{D9277B07-3D54-4D6D-9C78-449B6A8979B8}"/>
    <cellStyle name="40% - Accent5 2 3 2 3" xfId="2358" xr:uid="{54A7B384-C74A-4E57-BE1A-4061D975B71D}"/>
    <cellStyle name="40% - Accent5 2 3 2 3 2" xfId="4793" xr:uid="{EB81FF91-EF86-406F-836B-46A370E21552}"/>
    <cellStyle name="40% - Accent5 2 3 2 4" xfId="3919" xr:uid="{38FB6272-9BE4-49CE-9411-71E829AB268C}"/>
    <cellStyle name="40% - Accent5 2 3 3" xfId="1838" xr:uid="{FB789F49-DAA1-4471-A7F3-E3E51C96C97F}"/>
    <cellStyle name="40% - Accent5 2 3 3 2" xfId="2676" xr:uid="{C647C14E-1FDC-4FF2-ACFA-073B54DA9319}"/>
    <cellStyle name="40% - Accent5 2 3 3 2 2" xfId="5111" xr:uid="{0FD44ADF-4D7B-40F9-BD60-8729CA0B84EF}"/>
    <cellStyle name="40% - Accent5 2 3 3 3" xfId="4355" xr:uid="{E3D03835-1C9A-4EE6-8DCB-6DBC89656C53}"/>
    <cellStyle name="40% - Accent5 2 3 4" xfId="2357" xr:uid="{777EEF74-297F-47F9-985C-E3D294AE7332}"/>
    <cellStyle name="40% - Accent5 2 3 4 2" xfId="4792" xr:uid="{2A45B322-4474-4F00-AB57-1448B5B36F6E}"/>
    <cellStyle name="40% - Accent5 2 3 5" xfId="3918" xr:uid="{52DCBF71-CF00-4EC1-B50E-2940EF8AADCA}"/>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2 2 2" xfId="5282" xr:uid="{A36D9199-2E47-4A4A-83DC-4030F0FA8188}"/>
    <cellStyle name="40% - Accent5 3 2 2 3" xfId="4526" xr:uid="{E82E4418-6E43-4EAF-9280-0E417BA1CBE9}"/>
    <cellStyle name="40% - Accent5 3 2 3" xfId="2360" xr:uid="{6142FD7C-5281-4458-AE22-B29F1DAC8298}"/>
    <cellStyle name="40% - Accent5 3 2 3 2" xfId="4795" xr:uid="{6DA916C0-2DBC-4961-8B65-1FD1483EECBA}"/>
    <cellStyle name="40% - Accent5 3 2 4" xfId="3921" xr:uid="{6646D104-CE81-446F-B87B-661B7FBA4B4C}"/>
    <cellStyle name="40% - Accent5 3 3" xfId="1839" xr:uid="{64D0CD8D-6ACD-437A-A73B-3C52C1717C15}"/>
    <cellStyle name="40% - Accent5 3 3 2" xfId="2677" xr:uid="{7E1A2875-F160-4407-81A0-383408601322}"/>
    <cellStyle name="40% - Accent5 3 3 2 2" xfId="5112" xr:uid="{72BED644-E998-44C6-AE16-C0F8D7018403}"/>
    <cellStyle name="40% - Accent5 3 3 3" xfId="4356" xr:uid="{300F9ECD-F3F6-4868-BCCE-6C709AFC1915}"/>
    <cellStyle name="40% - Accent5 3 4" xfId="2359" xr:uid="{1560B020-90C1-44AB-BD98-6A4B0498711C}"/>
    <cellStyle name="40% - Accent5 3 4 2" xfId="4794" xr:uid="{20506587-1C4A-484D-8BC1-5B17E33FD3E7}"/>
    <cellStyle name="40% - Accent5 3 5" xfId="1056" xr:uid="{9D8EABC5-349B-49FA-A42B-26EFBC12E179}"/>
    <cellStyle name="40% - Accent5 3 5 2" xfId="3920" xr:uid="{2475AFA4-E363-4D74-85DE-70C4C5E3D156}"/>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2 2 2" xfId="5280" xr:uid="{AD7CFB95-6166-4A61-8115-050E8884142E}"/>
    <cellStyle name="40% - Accent5 4 2 2 3" xfId="4524" xr:uid="{14A4D0BD-A657-45E0-A0BB-27AF9785AB8A}"/>
    <cellStyle name="40% - Accent5 4 2 3" xfId="2362" xr:uid="{68C43C60-7370-40F5-81B3-6E417044ED6F}"/>
    <cellStyle name="40% - Accent5 4 2 3 2" xfId="4797" xr:uid="{058D9E1E-028E-4004-9E9C-93F7C80090FC}"/>
    <cellStyle name="40% - Accent5 4 2 4" xfId="3923" xr:uid="{49891433-B69B-4998-AB1D-CA7A6AE49B1F}"/>
    <cellStyle name="40% - Accent5 4 3" xfId="1837" xr:uid="{A78D0F56-CFE0-43B9-BA42-C23FA85EB63C}"/>
    <cellStyle name="40% - Accent5 4 3 2" xfId="2675" xr:uid="{55A9E2BD-7ADC-43D7-904F-FF2821E26A53}"/>
    <cellStyle name="40% - Accent5 4 3 2 2" xfId="5110" xr:uid="{08DDBAAF-D726-438C-9300-6A42542985BD}"/>
    <cellStyle name="40% - Accent5 4 3 3" xfId="4354" xr:uid="{DF5B0E45-42FD-4831-9CB8-6CEE921B7FB9}"/>
    <cellStyle name="40% - Accent5 4 4" xfId="2361" xr:uid="{8677EBAD-EAA3-4494-8AFC-03E0F2E7B1E0}"/>
    <cellStyle name="40% - Accent5 4 4 2" xfId="4796" xr:uid="{537D74C5-0C95-48DB-B7C4-DB14C6729B11}"/>
    <cellStyle name="40% - Accent5 4 5" xfId="1058" xr:uid="{8430CDCE-E50B-483D-A8C7-7C7A4F032391}"/>
    <cellStyle name="40% - Accent5 4 5 2" xfId="3922" xr:uid="{5FC73EF2-F469-4252-BC42-DC6846469019}"/>
    <cellStyle name="40% - Accent5 5" xfId="251" xr:uid="{00000000-0005-0000-0000-00005E000000}"/>
    <cellStyle name="40% - Accent5 5 2" xfId="1969" xr:uid="{1F93E9D8-DD19-4BA6-BF40-41F52D9B54B4}"/>
    <cellStyle name="40% - Accent5 5 2 2" xfId="2807" xr:uid="{62CC4DAC-8412-4A8E-AC09-D2D593B3EAB2}"/>
    <cellStyle name="40% - Accent5 5 2 2 2" xfId="5242" xr:uid="{8EE43EB3-A7F9-4EFE-8B43-9C8C2AA14FAE}"/>
    <cellStyle name="40% - Accent5 5 2 3" xfId="4486" xr:uid="{0A59B1B5-853E-4C11-A323-34F7DCFB49C4}"/>
    <cellStyle name="40% - Accent5 5 3" xfId="2363" xr:uid="{C4D318D2-1E9A-402C-88ED-94D42B4AB7B6}"/>
    <cellStyle name="40% - Accent5 5 3 2" xfId="4798" xr:uid="{2FD3F569-D0C6-47F9-A4BB-BE49D733B41C}"/>
    <cellStyle name="40% - Accent5 5 4" xfId="1060" xr:uid="{348B5C0E-3CCA-496E-8DA9-B08D08888DD9}"/>
    <cellStyle name="40% - Accent5 5 4 2" xfId="3924" xr:uid="{953F043D-CAC0-49AE-8A81-88D00E6E962C}"/>
    <cellStyle name="40% - Accent5 6" xfId="300" xr:uid="{00000000-0005-0000-0000-00005F000000}"/>
    <cellStyle name="40% - Accent5 6 2" xfId="2637" xr:uid="{7C03BFD5-7850-43FE-A022-49BE0D2012BC}"/>
    <cellStyle name="40% - Accent5 6 2 2" xfId="5072" xr:uid="{296BB2CC-4629-49E8-A1FF-2A6D8FB02406}"/>
    <cellStyle name="40% - Accent5 6 3" xfId="1799" xr:uid="{F0680BF5-692E-4BC7-B24A-8A365AB75533}"/>
    <cellStyle name="40% - Accent5 6 3 2" xfId="4316" xr:uid="{55338790-8FF0-4FB0-8354-1BDFA4593352}"/>
    <cellStyle name="40% - Accent5 7" xfId="364" xr:uid="{00000000-0005-0000-0000-000060000000}"/>
    <cellStyle name="40% - Accent5 7 2" xfId="2978" xr:uid="{B82E5AC5-3CA2-4207-AB30-C4E3375643A7}"/>
    <cellStyle name="40% - Accent5 7 2 2" xfId="5413" xr:uid="{C0CB2207-CC79-4B39-A8C2-063BD6509C6A}"/>
    <cellStyle name="40% - Accent5 7 3" xfId="2140" xr:uid="{36E357C2-0B9D-4C09-8A6C-85794ED33B2C}"/>
    <cellStyle name="40% - Accent5 7 3 2" xfId="4657" xr:uid="{57709832-28F2-4D95-AFC3-7DB7755FE513}"/>
    <cellStyle name="40% - Accent5 8" xfId="435" xr:uid="{00000000-0005-0000-0000-000061000000}"/>
    <cellStyle name="40% - Accent5 8 2" xfId="2169" xr:uid="{2A822548-C23F-4116-88BB-FC8458188FB6}"/>
    <cellStyle name="40% - Accent5 8 2 2" xfId="4670" xr:uid="{697571D3-CBC7-4031-A7A5-EC3F4946E89E}"/>
    <cellStyle name="40% - Accent5 9" xfId="539" xr:uid="{00000000-0005-0000-0000-000062000000}"/>
    <cellStyle name="40% - Accent5 9 2" xfId="2183" xr:uid="{645737B1-ACB4-4801-9970-DE5D4002227B}"/>
    <cellStyle name="40% - Accent5 9 2 2" xfId="4684" xr:uid="{6AE2F8E2-1893-49CA-9651-9A14E8CFAEC6}"/>
    <cellStyle name="40% - Accent6" xfId="12" builtinId="51" customBuiltin="1"/>
    <cellStyle name="40% - Accent6 10" xfId="2626" xr:uid="{C21A98BD-1103-471F-9430-20648CE90C44}"/>
    <cellStyle name="40% - Accent6 10 2" xfId="5061" xr:uid="{A2CA3F10-3C8D-486E-BBD5-B08F213A7E81}"/>
    <cellStyle name="40% - Accent6 11" xfId="980" xr:uid="{D230E761-E665-4AB1-860D-06F98F9B84BA}"/>
    <cellStyle name="40% - Accent6 11 2" xfId="3867" xr:uid="{F13A34CE-0978-4EFB-835F-65A09300E1FD}"/>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2 2 2" xfId="5284" xr:uid="{BDC94FAE-C294-46FE-AB30-92EE9DE7739C}"/>
    <cellStyle name="40% - Accent6 2 3 2 2 3" xfId="4528" xr:uid="{67B18485-22F2-4A75-86FF-1A6FD490B8C6}"/>
    <cellStyle name="40% - Accent6 2 3 2 3" xfId="2365" xr:uid="{5A72E1EC-A89C-47A7-B5AB-21CBDE13B2F3}"/>
    <cellStyle name="40% - Accent6 2 3 2 3 2" xfId="4800" xr:uid="{CC2453F9-FBCC-401A-814D-755A70819D84}"/>
    <cellStyle name="40% - Accent6 2 3 2 4" xfId="3926" xr:uid="{B7138063-A151-4A91-97E2-77B63A8FF529}"/>
    <cellStyle name="40% - Accent6 2 3 3" xfId="1841" xr:uid="{0CECA3A3-4CA0-4015-8841-3394A6D58BC0}"/>
    <cellStyle name="40% - Accent6 2 3 3 2" xfId="2679" xr:uid="{99C30B72-3379-41CD-B03F-1298368562A1}"/>
    <cellStyle name="40% - Accent6 2 3 3 2 2" xfId="5114" xr:uid="{B9A72ACF-5692-485D-AE9C-D72B535C15B4}"/>
    <cellStyle name="40% - Accent6 2 3 3 3" xfId="4358" xr:uid="{A5111472-774C-417A-AD5B-49F621F6692C}"/>
    <cellStyle name="40% - Accent6 2 3 4" xfId="2364" xr:uid="{A03762CE-09A9-453B-AD40-F25C46C6258C}"/>
    <cellStyle name="40% - Accent6 2 3 4 2" xfId="4799" xr:uid="{9EDB8269-321D-4791-9982-0B762EC92B5C}"/>
    <cellStyle name="40% - Accent6 2 3 5" xfId="3925" xr:uid="{8248DE47-19CC-4844-BA65-22E3225B652D}"/>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2 2 2" xfId="5285" xr:uid="{DFB02C79-EF39-41B0-B68D-FE7F0E7C0510}"/>
    <cellStyle name="40% - Accent6 3 2 2 3" xfId="4529" xr:uid="{B71B5CF9-8B36-40B4-966A-B34412E5C495}"/>
    <cellStyle name="40% - Accent6 3 2 3" xfId="2367" xr:uid="{43768B4C-6BBC-4F12-AFCD-0D5825128366}"/>
    <cellStyle name="40% - Accent6 3 2 3 2" xfId="4802" xr:uid="{11EDD627-A6A5-4D51-84BB-163C61E12C2C}"/>
    <cellStyle name="40% - Accent6 3 2 4" xfId="3928" xr:uid="{F218D3BA-C057-4D4A-B825-219DCA829BC6}"/>
    <cellStyle name="40% - Accent6 3 3" xfId="1842" xr:uid="{F92505F3-4309-4D1B-A5B9-936236423FAB}"/>
    <cellStyle name="40% - Accent6 3 3 2" xfId="2680" xr:uid="{4F2BD282-906B-444E-A3DF-E0BBA83A93D9}"/>
    <cellStyle name="40% - Accent6 3 3 2 2" xfId="5115" xr:uid="{92821CD0-C2AC-4AB5-8C1B-B77AF8334F78}"/>
    <cellStyle name="40% - Accent6 3 3 3" xfId="4359" xr:uid="{152F8A42-933F-496A-86A3-93920010E7CC}"/>
    <cellStyle name="40% - Accent6 3 4" xfId="2366" xr:uid="{FC24BB0B-C46F-489F-B9FF-BBDC9976A213}"/>
    <cellStyle name="40% - Accent6 3 4 2" xfId="4801" xr:uid="{E187E3BB-46AA-400C-B95B-E53C70A75138}"/>
    <cellStyle name="40% - Accent6 3 5" xfId="1065" xr:uid="{72C004D4-F533-453E-92A8-064553DEEF7D}"/>
    <cellStyle name="40% - Accent6 3 5 2" xfId="3927" xr:uid="{234F1C37-438E-43DF-9421-E1FBC9760C44}"/>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2 2 2" xfId="5283" xr:uid="{30AE53C2-C01C-47E3-99F3-88B577778306}"/>
    <cellStyle name="40% - Accent6 4 2 2 3" xfId="4527" xr:uid="{52C54EE7-35FF-4B7C-8667-0D25C3B31973}"/>
    <cellStyle name="40% - Accent6 4 2 3" xfId="2369" xr:uid="{17B98110-C695-4C47-8B88-F6C94E285DCA}"/>
    <cellStyle name="40% - Accent6 4 2 3 2" xfId="4804" xr:uid="{6A903863-5215-459A-9033-1D3F9ECC7B8E}"/>
    <cellStyle name="40% - Accent6 4 2 4" xfId="3930" xr:uid="{DECE60E3-CB74-45FC-A2D6-761A000E6C46}"/>
    <cellStyle name="40% - Accent6 4 3" xfId="1840" xr:uid="{C065FD5D-40AD-43F0-A448-10EC331687CB}"/>
    <cellStyle name="40% - Accent6 4 3 2" xfId="2678" xr:uid="{40921068-5F1E-416F-9B84-2BAFE9851948}"/>
    <cellStyle name="40% - Accent6 4 3 2 2" xfId="5113" xr:uid="{047DDEBE-FCCF-4E32-88C4-D8FF1E438FF0}"/>
    <cellStyle name="40% - Accent6 4 3 3" xfId="4357" xr:uid="{0A24E264-2243-4F2A-A712-B2169814241C}"/>
    <cellStyle name="40% - Accent6 4 4" xfId="2368" xr:uid="{F482FFD0-88C6-4E87-8165-D1C894D588B8}"/>
    <cellStyle name="40% - Accent6 4 4 2" xfId="4803" xr:uid="{7DBD6B80-6881-41AB-BAAD-ADFE2C9F8CB1}"/>
    <cellStyle name="40% - Accent6 4 5" xfId="1067" xr:uid="{6A5E99AF-4B74-46B7-81A9-1CE55B37A1BA}"/>
    <cellStyle name="40% - Accent6 4 5 2" xfId="3929" xr:uid="{B10D69FE-2FD1-4D86-AC7B-E62E00958FEF}"/>
    <cellStyle name="40% - Accent6 5" xfId="252" xr:uid="{00000000-0005-0000-0000-000067000000}"/>
    <cellStyle name="40% - Accent6 5 2" xfId="1970" xr:uid="{6DB890FB-0E61-4307-B183-2B16FEDF29DA}"/>
    <cellStyle name="40% - Accent6 5 2 2" xfId="2808" xr:uid="{FD7C7E97-8200-41B8-83ED-88790EDC0B32}"/>
    <cellStyle name="40% - Accent6 5 2 2 2" xfId="5243" xr:uid="{3962319C-0B9E-48CF-8D36-609BB1A4DB55}"/>
    <cellStyle name="40% - Accent6 5 2 3" xfId="4487" xr:uid="{84663BA4-FAEE-45F4-B4E3-21CEBC90E337}"/>
    <cellStyle name="40% - Accent6 5 3" xfId="2370" xr:uid="{513DC4F4-8205-4022-B47F-78A8636EDDEF}"/>
    <cellStyle name="40% - Accent6 5 3 2" xfId="4805" xr:uid="{34253FEA-ED60-4DE9-9B47-F92C9A1D7F34}"/>
    <cellStyle name="40% - Accent6 5 4" xfId="1069" xr:uid="{74B0F5AD-BFB2-4197-A6B4-BFE473A85D0B}"/>
    <cellStyle name="40% - Accent6 5 4 2" xfId="3931" xr:uid="{D7A49735-0888-41D3-B8B9-B7AD01AF8BF0}"/>
    <cellStyle name="40% - Accent6 6" xfId="301" xr:uid="{00000000-0005-0000-0000-000068000000}"/>
    <cellStyle name="40% - Accent6 6 2" xfId="2638" xr:uid="{05CC4D4F-565F-4911-A520-1097A66A7B0F}"/>
    <cellStyle name="40% - Accent6 6 2 2" xfId="5073" xr:uid="{83D041CC-9572-4B1D-B033-10E0A4E18094}"/>
    <cellStyle name="40% - Accent6 6 3" xfId="1800" xr:uid="{9F77B020-F03A-494A-BF77-5BA0AB3FBEF1}"/>
    <cellStyle name="40% - Accent6 6 3 2" xfId="4317" xr:uid="{3FE887F2-A909-4795-A41D-C0D257B18CB7}"/>
    <cellStyle name="40% - Accent6 7" xfId="365" xr:uid="{00000000-0005-0000-0000-000069000000}"/>
    <cellStyle name="40% - Accent6 7 2" xfId="2980" xr:uid="{CEFBAA50-B1DC-4787-AADA-BA301D75093C}"/>
    <cellStyle name="40% - Accent6 7 2 2" xfId="5415" xr:uid="{065F94EA-1F19-4198-9558-A4B43A5487A3}"/>
    <cellStyle name="40% - Accent6 7 3" xfId="2142" xr:uid="{C17B9AC1-103A-4DE1-A527-F4B906BDF9FB}"/>
    <cellStyle name="40% - Accent6 7 3 2" xfId="4659" xr:uid="{C0BA5D82-7939-4FD6-BE10-F975B16DEC91}"/>
    <cellStyle name="40% - Accent6 8" xfId="436" xr:uid="{00000000-0005-0000-0000-00006A000000}"/>
    <cellStyle name="40% - Accent6 8 2" xfId="2171" xr:uid="{14E1C59F-A3F4-4EEB-9C7A-BCC606A57B70}"/>
    <cellStyle name="40% - Accent6 8 2 2" xfId="4672" xr:uid="{7C34B83E-DF65-4B8D-8C24-9FE3F0332B1A}"/>
    <cellStyle name="40% - Accent6 9" xfId="540" xr:uid="{00000000-0005-0000-0000-00006B000000}"/>
    <cellStyle name="40% - Accent6 9 2" xfId="2185" xr:uid="{5E2EF2E5-F833-4108-8384-8DCC5EEB89F6}"/>
    <cellStyle name="40% - Accent6 9 2 2" xfId="4686" xr:uid="{744AC416-5387-4E18-87B2-011F11E64D78}"/>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10" xfId="3314" xr:uid="{3DBE477C-096C-49F3-AFA3-5272A78340AA}"/>
    <cellStyle name="Calculation 2" xfId="174" xr:uid="{00000000-0005-0000-0000-0000E7000000}"/>
    <cellStyle name="Calculation 2 2" xfId="1143" xr:uid="{469FD491-EEDC-44CD-84EC-E8450110DEA4}"/>
    <cellStyle name="Calculation 2 2 2" xfId="3290" xr:uid="{8BDD3A74-61AF-4953-A27F-5B32B532D884}"/>
    <cellStyle name="Calculation 2 2 2 2" xfId="5664" xr:uid="{95F50B25-0F60-465E-8B3C-20F8945AD9E9}"/>
    <cellStyle name="Calculation 2 2 3" xfId="3141" xr:uid="{7896FD04-59FB-4E13-87C9-01D48FFC6D3E}"/>
    <cellStyle name="Calculation 2 2 3 2" xfId="5515" xr:uid="{8F06241D-FDD1-4689-A365-6DCE38ACD629}"/>
    <cellStyle name="Calculation 2 2 4" xfId="3933" xr:uid="{B01127C6-8106-449C-9DF1-6217D8C32293}"/>
    <cellStyle name="Calculation 2 3" xfId="3107" xr:uid="{B26FC16B-DE57-4E49-BE54-CD8B90EF129B}"/>
    <cellStyle name="Calculation 2 3 2" xfId="5481" xr:uid="{8CD9686D-35EC-4569-AFA6-5A525730C02E}"/>
    <cellStyle name="Calculation 2 4" xfId="3294" xr:uid="{87E32EE9-651C-4737-A334-2CA799505CC5}"/>
    <cellStyle name="Calculation 2 4 2" xfId="5668" xr:uid="{7ECF1AD5-86BB-48E4-86D8-215DEE2AF208}"/>
    <cellStyle name="Calculation 2 5" xfId="1142" xr:uid="{CF9B27F6-9FE3-42F8-BE7F-2E8BF783A282}"/>
    <cellStyle name="Calculation 2 5 2" xfId="3932" xr:uid="{6DCB1F24-2A1B-4330-9F63-903BE59538C0}"/>
    <cellStyle name="Calculation 2 6" xfId="3367" xr:uid="{16F673C4-1D84-4EAD-9570-E44D0CA379B2}"/>
    <cellStyle name="Calculation 3" xfId="220" xr:uid="{00000000-0005-0000-0000-0000E8000000}"/>
    <cellStyle name="Calculation 3 2" xfId="3373" xr:uid="{528D89DE-220D-41EB-8267-D42D165B7600}"/>
    <cellStyle name="Calculation 4" xfId="266" xr:uid="{00000000-0005-0000-0000-0000E9000000}"/>
    <cellStyle name="Calculation 4 2" xfId="3380" xr:uid="{F2F4F0E5-BE94-421B-85F9-AD0CAA076DD4}"/>
    <cellStyle name="Calculation 5" xfId="315" xr:uid="{00000000-0005-0000-0000-0000EA000000}"/>
    <cellStyle name="Calculation 5 2" xfId="3389" xr:uid="{9F8B0560-A0CE-472A-9776-91442BDC2121}"/>
    <cellStyle name="Calculation 6" xfId="379" xr:uid="{00000000-0005-0000-0000-0000EB000000}"/>
    <cellStyle name="Calculation 6 2" xfId="3412" xr:uid="{6235C727-A9B8-4133-8959-D4500D9FAD47}"/>
    <cellStyle name="Calculation 7" xfId="450" xr:uid="{00000000-0005-0000-0000-0000EC000000}"/>
    <cellStyle name="Calculation 7 2" xfId="3443" xr:uid="{DC59FC78-C2FD-472C-B318-90F122F82608}"/>
    <cellStyle name="Calculation 8" xfId="554" xr:uid="{00000000-0005-0000-0000-0000ED000000}"/>
    <cellStyle name="Calculation 8 2" xfId="3501" xr:uid="{59C5F892-F21E-4F74-8636-2E99F5EF84E9}"/>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0 5" xfId="3822" xr:uid="{20BBA402-4576-48F9-88A1-D548B45B31C2}"/>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2 2" xfId="5417" xr:uid="{6FC48A84-97D1-4661-8167-9C2E1CF2BB88}"/>
    <cellStyle name="Comma 43" xfId="3309" xr:uid="{BD579F3F-AC46-431D-A6F2-A60D0274FFB9}"/>
    <cellStyle name="Comma 43 2" xfId="5683" xr:uid="{273BDF79-C595-46BC-A5EF-4E24AA1F70D9}"/>
    <cellStyle name="Comma 44" xfId="3308" xr:uid="{C7760472-264E-4679-9986-A0C746B344D6}"/>
    <cellStyle name="Comma 44 2" xfId="5682" xr:uid="{67A9A973-1A4B-4602-8E03-A1EA77FE9180}"/>
    <cellStyle name="Comma 45" xfId="3307" xr:uid="{EB6308FD-6A76-4D2E-A403-3AFC5D6DE18C}"/>
    <cellStyle name="Comma 45 2" xfId="5681" xr:uid="{6F29F66D-887F-47F1-8704-955136A6A147}"/>
    <cellStyle name="Comma 46" xfId="3310" xr:uid="{1580F03D-FECF-4C76-B543-A70F1EFF9C40}"/>
    <cellStyle name="Comma 46 2" xfId="5684" xr:uid="{EC6614A7-A679-4C51-B811-C3ADCA51F859}"/>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xfId="5685" builtinId="4"/>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19 2" xfId="4716" xr:uid="{90FED96D-88CC-4667-AE35-CA5B6729470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0 2 2" xfId="5078" xr:uid="{EAE17EE6-371A-4E90-B79D-734C5E80B434}"/>
    <cellStyle name="Currency 4 10 3" xfId="4322" xr:uid="{A681359D-A260-4950-91B3-CB08F5CBBEE5}"/>
    <cellStyle name="Currency 4 11" xfId="2371" xr:uid="{1E4B7249-AF69-45B6-BFDF-71F9118B83E7}"/>
    <cellStyle name="Currency 4 11 2" xfId="4806" xr:uid="{1396AF91-7A7D-4C4C-9205-E06B0BB17125}"/>
    <cellStyle name="Currency 4 12" xfId="1259" xr:uid="{E7DAEBC2-444C-4ECF-A8D9-C6A2487CC9FE}"/>
    <cellStyle name="Currency 4 12 2" xfId="3934" xr:uid="{E6AB433B-AC8E-4659-A443-814442C44636}"/>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2 2 2" xfId="5248" xr:uid="{32D83D4E-2A24-42D8-ADE0-AF34EB0B9171}"/>
    <cellStyle name="Currency 4 9 2 3" xfId="4492" xr:uid="{CE9D2E07-C449-43B5-A0F0-BC68907BABED}"/>
    <cellStyle name="Currency 4 9 3" xfId="2372" xr:uid="{08F4D02B-4292-473D-ADC0-56ABAC607A79}"/>
    <cellStyle name="Currency 4 9 3 2" xfId="4807" xr:uid="{F3A74430-4BAA-4149-82BD-EC49BDB06A1C}"/>
    <cellStyle name="Currency 4 9 4" xfId="3935" xr:uid="{CB864C65-BC8F-4C61-86CF-A5F6EF5709F1}"/>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10" xfId="3315" xr:uid="{E6465447-25A1-4A2C-A61F-A73B5226D70E}"/>
    <cellStyle name="Input 2" xfId="183" xr:uid="{00000000-0005-0000-0000-00003A010000}"/>
    <cellStyle name="Input 2 2" xfId="1294" xr:uid="{8899C54C-7999-4683-9767-B5290C6E019C}"/>
    <cellStyle name="Input 2 2 2" xfId="3227" xr:uid="{BDB2C478-9B34-4C8A-ADFC-B1E5A5D55AC0}"/>
    <cellStyle name="Input 2 2 2 2" xfId="5601" xr:uid="{F48A6FFA-F040-46D5-A69C-958F3E4BCF39}"/>
    <cellStyle name="Input 2 2 3" xfId="3261" xr:uid="{258DE233-A65E-4866-95C8-4B39CE3CE6E0}"/>
    <cellStyle name="Input 2 2 3 2" xfId="5635" xr:uid="{49247DEC-81A0-4AFF-8604-25BA076DF1B1}"/>
    <cellStyle name="Input 2 2 4" xfId="3937" xr:uid="{B7CF7B30-9854-4E9E-B13D-474859DFA9BC}"/>
    <cellStyle name="Input 2 3" xfId="3116" xr:uid="{FD47FBA9-CE1D-41D2-A32C-BE8B9CA5CDEA}"/>
    <cellStyle name="Input 2 3 2" xfId="5490" xr:uid="{AFF8A07A-5A44-43E2-B55E-0EC4FFF02B1E}"/>
    <cellStyle name="Input 2 4" xfId="3247" xr:uid="{A2FF7547-0326-44DF-B804-2B22B6369143}"/>
    <cellStyle name="Input 2 4 2" xfId="5621" xr:uid="{6650B97F-2BA4-40D8-BBA7-66F1BDA05F0E}"/>
    <cellStyle name="Input 2 5" xfId="1293" xr:uid="{4A06307E-D690-4EAE-AFEF-D1040613786B}"/>
    <cellStyle name="Input 2 5 2" xfId="3936" xr:uid="{232E22A7-24CF-40E0-8FA7-31E623DB4513}"/>
    <cellStyle name="Input 2 6" xfId="3368" xr:uid="{EC716131-382A-4935-87AA-A6F25579B005}"/>
    <cellStyle name="Input 3" xfId="229" xr:uid="{00000000-0005-0000-0000-00003B010000}"/>
    <cellStyle name="Input 3 2" xfId="3374" xr:uid="{AE7F97B4-BD48-4809-8314-83793A4FC142}"/>
    <cellStyle name="Input 4" xfId="275" xr:uid="{00000000-0005-0000-0000-00003C010000}"/>
    <cellStyle name="Input 4 2" xfId="3381" xr:uid="{C871E969-AC23-499F-8C50-BC12C872095E}"/>
    <cellStyle name="Input 5" xfId="324" xr:uid="{00000000-0005-0000-0000-00003D010000}"/>
    <cellStyle name="Input 5 2" xfId="3390" xr:uid="{FD3297FA-F033-4D2B-A1B3-5F09BA893EE0}"/>
    <cellStyle name="Input 6" xfId="388" xr:uid="{00000000-0005-0000-0000-00003E010000}"/>
    <cellStyle name="Input 6 2" xfId="3413" xr:uid="{D531B6C6-E5CD-44DE-863D-34B1ED688526}"/>
    <cellStyle name="Input 7" xfId="459" xr:uid="{00000000-0005-0000-0000-00003F010000}"/>
    <cellStyle name="Input 7 2" xfId="3444" xr:uid="{76CDDAD9-3852-4AE9-A575-4C8431ED09DB}"/>
    <cellStyle name="Input 8" xfId="563" xr:uid="{00000000-0005-0000-0000-000040010000}"/>
    <cellStyle name="Input 8 2" xfId="3502" xr:uid="{86D8372E-8718-4AD1-947A-C217E48F9F2B}"/>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2 3 2 2" xfId="4696" xr:uid="{F9B49122-6B4A-49D4-B5A4-7F463CB81620}"/>
    <cellStyle name="Normal 10 3" xfId="521" xr:uid="{00000000-0005-0000-0000-000056010000}"/>
    <cellStyle name="Normal 10 3 2" xfId="2013" xr:uid="{7745E213-0E61-4785-870B-41F75C1D3115}"/>
    <cellStyle name="Normal 10 3 2 2" xfId="2851" xr:uid="{CDBC5013-947E-4494-8351-B2197DDEE8AC}"/>
    <cellStyle name="Normal 10 3 2 2 2" xfId="5286" xr:uid="{75B0DEFB-4516-4D49-BF52-10B777CDC4AD}"/>
    <cellStyle name="Normal 10 3 2 3" xfId="4530" xr:uid="{A9FF4842-AC76-487D-AEEB-3E2BB80AC6A0}"/>
    <cellStyle name="Normal 10 3 3" xfId="2374" xr:uid="{01E57F75-D9F3-4147-879B-2E2814D110F7}"/>
    <cellStyle name="Normal 10 3 3 2" xfId="4809" xr:uid="{5A2D8414-B7CE-4F9F-B3B7-804207C82906}"/>
    <cellStyle name="Normal 10 3 4" xfId="1301" xr:uid="{9A94F352-8BBC-488B-A76F-CF622501CF8A}"/>
    <cellStyle name="Normal 10 3 4 2" xfId="3939" xr:uid="{1CE9DD88-CFFF-40F0-B863-A6DE55819839}"/>
    <cellStyle name="Normal 10 4" xfId="1843" xr:uid="{29780475-1C47-48AC-A136-AFA6477CFBAE}"/>
    <cellStyle name="Normal 10 4 2" xfId="2681" xr:uid="{14409364-0323-41CD-8558-2125D0EA9CD0}"/>
    <cellStyle name="Normal 10 4 2 2" xfId="5116" xr:uid="{1A8352C3-0C3E-4287-B7A7-5F48FD6AC87F}"/>
    <cellStyle name="Normal 10 4 3" xfId="4360" xr:uid="{FB6B6C91-28C9-4C6B-88A8-14D45CFC03B8}"/>
    <cellStyle name="Normal 10 5" xfId="2229" xr:uid="{5AF3DE03-B4A8-43C7-BA7B-F058EF16009E}"/>
    <cellStyle name="Normal 10 5 2" xfId="4706" xr:uid="{D27E4892-E433-44EC-A39D-B830423510E8}"/>
    <cellStyle name="Normal 10 6" xfId="2373" xr:uid="{3A732DCF-C5B0-4F24-8E54-3873CBFF7EB4}"/>
    <cellStyle name="Normal 10 6 2" xfId="4808" xr:uid="{D4BAF86C-2A50-4EA2-B319-30EC2C3ACEA8}"/>
    <cellStyle name="Normal 10 7" xfId="1300" xr:uid="{11FFE916-F797-4BA2-8E61-AD503BC8B58D}"/>
    <cellStyle name="Normal 10 7 2" xfId="3938" xr:uid="{328D4A4B-958B-43B7-AA99-25289E3EC55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2 2 2" xfId="3800" xr:uid="{75D7499F-3A75-4544-B0AF-E8B2B4940C2E}"/>
    <cellStyle name="Normal 11 2 2 2 3" xfId="3591" xr:uid="{B36C3378-A6C2-418A-B69B-D6174FF14175}"/>
    <cellStyle name="Normal 11 2 2 3" xfId="762" xr:uid="{00000000-0005-0000-0000-00005C010000}"/>
    <cellStyle name="Normal 11 2 2 3 2" xfId="3695" xr:uid="{190049E9-F49B-435F-8A56-244C9AC2F64F}"/>
    <cellStyle name="Normal 11 2 2 4" xfId="2232" xr:uid="{B1237019-C641-42A9-AED3-1445FAECAC3F}"/>
    <cellStyle name="Normal 11 2 2 5" xfId="3481" xr:uid="{62D3EC59-F6B7-45CC-A97D-615615C34763}"/>
    <cellStyle name="Normal 11 2 3" xfId="605" xr:uid="{00000000-0005-0000-0000-00005D010000}"/>
    <cellStyle name="Normal 11 2 3 2" xfId="816" xr:uid="{00000000-0005-0000-0000-00005E010000}"/>
    <cellStyle name="Normal 11 2 3 2 2" xfId="3748" xr:uid="{6D1B7CC6-B275-467A-9D82-1D127A9A71BB}"/>
    <cellStyle name="Normal 11 2 3 3" xfId="2207" xr:uid="{BB019278-5D42-465A-A2EC-B9C667EA61E1}"/>
    <cellStyle name="Normal 11 2 3 3 2" xfId="4697" xr:uid="{9DB5D335-934D-43F7-A8A8-A60728AE17AA}"/>
    <cellStyle name="Normal 11 2 3 4" xfId="3539" xr:uid="{96489F8E-EBC9-48C1-A2D8-FF0AA30D0254}"/>
    <cellStyle name="Normal 11 2 4" xfId="710" xr:uid="{00000000-0005-0000-0000-00005F010000}"/>
    <cellStyle name="Normal 11 2 4 2" xfId="3643" xr:uid="{D36F6DEA-B9C9-4EF7-B3F8-5566CB451E6F}"/>
    <cellStyle name="Normal 11 2 5" xfId="1303" xr:uid="{536546D5-378C-4DD6-BE7F-78F86762F9EB}"/>
    <cellStyle name="Normal 11 2 6" xfId="3424" xr:uid="{CC6095AA-B25C-4BA1-A3A5-51BF8CE0736C}"/>
    <cellStyle name="Normal 11 3" xfId="475" xr:uid="{00000000-0005-0000-0000-000060010000}"/>
    <cellStyle name="Normal 11 3 2" xfId="631" xr:uid="{00000000-0005-0000-0000-000061010000}"/>
    <cellStyle name="Normal 11 3 2 2" xfId="842" xr:uid="{00000000-0005-0000-0000-000062010000}"/>
    <cellStyle name="Normal 11 3 2 2 2" xfId="3774" xr:uid="{3603CFDB-733E-41BB-BDE2-715ED9CC2039}"/>
    <cellStyle name="Normal 11 3 2 3" xfId="3565" xr:uid="{39F41154-1EF5-4247-83FA-F05BD4FB1975}"/>
    <cellStyle name="Normal 11 3 3" xfId="736" xr:uid="{00000000-0005-0000-0000-000063010000}"/>
    <cellStyle name="Normal 11 3 3 2" xfId="3669" xr:uid="{1AE8DAED-F6D0-490D-936A-2F2B666330B8}"/>
    <cellStyle name="Normal 11 3 4" xfId="1304" xr:uid="{359B6297-B3DD-403F-BDFF-8288E8BDBB3B}"/>
    <cellStyle name="Normal 11 3 5" xfId="3455" xr:uid="{8429BA1A-DA79-4D6F-8AA8-2240F89C5E99}"/>
    <cellStyle name="Normal 11 4" xfId="579" xr:uid="{00000000-0005-0000-0000-000064010000}"/>
    <cellStyle name="Normal 11 4 2" xfId="790" xr:uid="{00000000-0005-0000-0000-000065010000}"/>
    <cellStyle name="Normal 11 4 2 2" xfId="3722" xr:uid="{DD81BAD9-BC81-40E7-93E0-9A172635B669}"/>
    <cellStyle name="Normal 11 4 3" xfId="2231" xr:uid="{6BC8C81C-09D2-4FAC-BF98-12A324E869A3}"/>
    <cellStyle name="Normal 11 4 4" xfId="3513" xr:uid="{0CFF853E-6BE6-4B76-9370-16FE3EAF31E2}"/>
    <cellStyle name="Normal 11 5" xfId="684" xr:uid="{00000000-0005-0000-0000-000066010000}"/>
    <cellStyle name="Normal 11 5 2" xfId="2198" xr:uid="{C253D32C-3448-4783-ACE3-D463ADA6E348}"/>
    <cellStyle name="Normal 11 5 2 2" xfId="4689" xr:uid="{FBA028B7-207B-420E-AAB0-0A4644A299EE}"/>
    <cellStyle name="Normal 11 5 3" xfId="3617" xr:uid="{4EBC33AF-30E5-4AAD-83AD-3E20A4BF56CE}"/>
    <cellStyle name="Normal 11 6" xfId="1302" xr:uid="{75FD1AD2-165D-4662-9D50-EC185D54BE1E}"/>
    <cellStyle name="Normal 11 7" xfId="3388" xr:uid="{21F32BC0-5C99-47B7-BAFA-581DFE5B4C9A}"/>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2 2 2" xfId="3808" xr:uid="{F7ACE8FD-7B8F-4543-92A1-12499C4C3945}"/>
    <cellStyle name="Normal 12 2 2 2 3" xfId="3599" xr:uid="{BC2DA3EA-783D-4928-8F56-B1BBC87B71F0}"/>
    <cellStyle name="Normal 12 2 2 3" xfId="770" xr:uid="{00000000-0005-0000-0000-00006C010000}"/>
    <cellStyle name="Normal 12 2 2 3 2" xfId="3703" xr:uid="{8FE9E8AC-84B3-4801-B4E7-FCC76E21CB7B}"/>
    <cellStyle name="Normal 12 2 2 4" xfId="2234" xr:uid="{F3DA8E82-5C98-471A-B96F-B58C3C8E1248}"/>
    <cellStyle name="Normal 12 2 2 5" xfId="3489" xr:uid="{7836C0DF-32C4-4576-BBA7-DA10FD9D8725}"/>
    <cellStyle name="Normal 12 2 3" xfId="613" xr:uid="{00000000-0005-0000-0000-00006D010000}"/>
    <cellStyle name="Normal 12 2 3 2" xfId="824" xr:uid="{00000000-0005-0000-0000-00006E010000}"/>
    <cellStyle name="Normal 12 2 3 2 2" xfId="3756" xr:uid="{9360D084-DB5E-461E-A13E-B94846422529}"/>
    <cellStyle name="Normal 12 2 3 3" xfId="2208" xr:uid="{E23C1F4A-746B-4B1A-A788-66B8069A8956}"/>
    <cellStyle name="Normal 12 2 3 3 2" xfId="4698" xr:uid="{6A7EB0F5-A26F-47A8-8159-F35A1AF07441}"/>
    <cellStyle name="Normal 12 2 3 4" xfId="3547" xr:uid="{52397E20-CC62-498A-B6A0-0826383FD46D}"/>
    <cellStyle name="Normal 12 2 4" xfId="718" xr:uid="{00000000-0005-0000-0000-00006F010000}"/>
    <cellStyle name="Normal 12 2 4 2" xfId="3651" xr:uid="{4377522F-EF4E-4F7C-A2DB-C1DE3A3981D7}"/>
    <cellStyle name="Normal 12 2 5" xfId="1306" xr:uid="{1831F7C4-12E4-497E-BF82-A1659D30E57F}"/>
    <cellStyle name="Normal 12 2 6" xfId="3432" xr:uid="{5A5B4FC4-902A-42B2-BE09-986297FC41CB}"/>
    <cellStyle name="Normal 12 3" xfId="483" xr:uid="{00000000-0005-0000-0000-000070010000}"/>
    <cellStyle name="Normal 12 3 2" xfId="639" xr:uid="{00000000-0005-0000-0000-000071010000}"/>
    <cellStyle name="Normal 12 3 2 2" xfId="850" xr:uid="{00000000-0005-0000-0000-000072010000}"/>
    <cellStyle name="Normal 12 3 2 2 2" xfId="3782" xr:uid="{9AB9E4FD-B9EE-4121-97FB-A06DB2CE4D90}"/>
    <cellStyle name="Normal 12 3 2 3" xfId="3573" xr:uid="{052AC7BC-F5F0-41CF-A08F-674687894C4A}"/>
    <cellStyle name="Normal 12 3 3" xfId="744" xr:uid="{00000000-0005-0000-0000-000073010000}"/>
    <cellStyle name="Normal 12 3 3 2" xfId="3677" xr:uid="{039E7C73-ED79-4353-9FA4-D6553ECEE392}"/>
    <cellStyle name="Normal 12 3 4" xfId="2233" xr:uid="{FAB73BD6-5809-47BF-965B-F055B397A81A}"/>
    <cellStyle name="Normal 12 3 5" xfId="3463" xr:uid="{6DFEF45A-C88E-4864-A14C-1707B09394F8}"/>
    <cellStyle name="Normal 12 4" xfId="587" xr:uid="{00000000-0005-0000-0000-000074010000}"/>
    <cellStyle name="Normal 12 4 2" xfId="798" xr:uid="{00000000-0005-0000-0000-000075010000}"/>
    <cellStyle name="Normal 12 4 2 2" xfId="3730" xr:uid="{14B719D6-31CA-4AC0-BE84-98A62209700E}"/>
    <cellStyle name="Normal 12 4 3" xfId="2199" xr:uid="{D9B9E22E-5861-4F8B-BB01-B2659081A43F}"/>
    <cellStyle name="Normal 12 4 3 2" xfId="4690" xr:uid="{79EC065E-A40D-4ADF-BC32-E2A6CA5F3279}"/>
    <cellStyle name="Normal 12 4 4" xfId="3521" xr:uid="{E6DCE664-7B81-4BB0-96D8-E556F808F949}"/>
    <cellStyle name="Normal 12 5" xfId="692" xr:uid="{00000000-0005-0000-0000-000076010000}"/>
    <cellStyle name="Normal 12 5 2" xfId="3625" xr:uid="{042D9BA5-74C5-4D1B-A502-B75DD3DF655C}"/>
    <cellStyle name="Normal 12 6" xfId="1305" xr:uid="{C4A3F2F2-7C80-4D10-83C5-3EFEE42D01C3}"/>
    <cellStyle name="Normal 12 7" xfId="3401" xr:uid="{FD615071-B053-4D27-9D79-AE7C5E91031B}"/>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2 2 2" xfId="3809" xr:uid="{08671A7A-2614-4FE3-815C-6DB86F62AA90}"/>
    <cellStyle name="Normal 13 2 2 2 3" xfId="3600" xr:uid="{6B027815-F29D-4528-9D00-591E6DAB225F}"/>
    <cellStyle name="Normal 13 2 2 3" xfId="771" xr:uid="{00000000-0005-0000-0000-00007C010000}"/>
    <cellStyle name="Normal 13 2 2 3 2" xfId="3704" xr:uid="{480900A6-6E11-42DA-8995-42D40AC80A6F}"/>
    <cellStyle name="Normal 13 2 2 4" xfId="2236" xr:uid="{EBBC7A27-84C2-4C2F-9425-435EFD7E8B81}"/>
    <cellStyle name="Normal 13 2 2 5" xfId="3490" xr:uid="{054363DD-9AEE-4A48-B458-EE27B1AA6F9E}"/>
    <cellStyle name="Normal 13 2 3" xfId="614" xr:uid="{00000000-0005-0000-0000-00007D010000}"/>
    <cellStyle name="Normal 13 2 3 2" xfId="825" xr:uid="{00000000-0005-0000-0000-00007E010000}"/>
    <cellStyle name="Normal 13 2 3 2 2" xfId="3757" xr:uid="{212A62C1-91BC-4C8F-8CEF-B13677232AA8}"/>
    <cellStyle name="Normal 13 2 3 3" xfId="2209" xr:uid="{665B9D62-F24E-472E-A18C-0F64BA4CB6D0}"/>
    <cellStyle name="Normal 13 2 3 3 2" xfId="4699" xr:uid="{897C62F0-1C6D-4C62-A9B3-13F24DDCC9AC}"/>
    <cellStyle name="Normal 13 2 3 4" xfId="3548" xr:uid="{08998FEF-D1F1-4EFC-B200-EC43A4750FF9}"/>
    <cellStyle name="Normal 13 2 4" xfId="719" xr:uid="{00000000-0005-0000-0000-00007F010000}"/>
    <cellStyle name="Normal 13 2 4 2" xfId="3652" xr:uid="{DB90CBEF-23AE-44A5-80FC-B1AB38EF51CC}"/>
    <cellStyle name="Normal 13 2 5" xfId="1308" xr:uid="{A58B22DC-9888-4C88-9ECA-E0DD3B68AA00}"/>
    <cellStyle name="Normal 13 2 6" xfId="3433" xr:uid="{9DAC40AC-023F-4953-B347-53BFE505A5CA}"/>
    <cellStyle name="Normal 13 3" xfId="523" xr:uid="{00000000-0005-0000-0000-000080010000}"/>
    <cellStyle name="Normal 13 3 2" xfId="675" xr:uid="{00000000-0005-0000-0000-000081010000}"/>
    <cellStyle name="Normal 13 3 2 2" xfId="886" xr:uid="{00000000-0005-0000-0000-000082010000}"/>
    <cellStyle name="Normal 13 3 2 2 2" xfId="3818" xr:uid="{B2FBDCB7-5D37-49FC-9253-030316352042}"/>
    <cellStyle name="Normal 13 3 2 3" xfId="3609" xr:uid="{32FABA79-883D-48A7-B2DB-EADDCDFFF30C}"/>
    <cellStyle name="Normal 13 3 3" xfId="780" xr:uid="{00000000-0005-0000-0000-000083010000}"/>
    <cellStyle name="Normal 13 3 3 2" xfId="3713" xr:uid="{563BAFA8-E448-4988-9D77-6A27FBB054E0}"/>
    <cellStyle name="Normal 13 3 4" xfId="2235" xr:uid="{78B253D6-BC88-4CF8-AE7F-5ED6330192B5}"/>
    <cellStyle name="Normal 13 3 5" xfId="3499" xr:uid="{7076499B-C2F0-4E92-B55D-D00981F056EA}"/>
    <cellStyle name="Normal 13 4" xfId="484" xr:uid="{00000000-0005-0000-0000-000084010000}"/>
    <cellStyle name="Normal 13 4 2" xfId="640" xr:uid="{00000000-0005-0000-0000-000085010000}"/>
    <cellStyle name="Normal 13 4 2 2" xfId="851" xr:uid="{00000000-0005-0000-0000-000086010000}"/>
    <cellStyle name="Normal 13 4 2 2 2" xfId="3783" xr:uid="{3556B275-67DF-4571-815F-960EF9202EF7}"/>
    <cellStyle name="Normal 13 4 2 3" xfId="3574" xr:uid="{FAF93325-768C-4590-98BE-0D54BD48D814}"/>
    <cellStyle name="Normal 13 4 3" xfId="745" xr:uid="{00000000-0005-0000-0000-000087010000}"/>
    <cellStyle name="Normal 13 4 3 2" xfId="3678" xr:uid="{1FA6D115-9BE7-4B6D-B70C-18C91A04F987}"/>
    <cellStyle name="Normal 13 4 4" xfId="2200" xr:uid="{7C60ACB3-08A1-406A-AB5C-075E8198CC57}"/>
    <cellStyle name="Normal 13 4 4 2" xfId="4691" xr:uid="{C4DE25F9-CC0F-48A4-A56E-F1C0F7AE58ED}"/>
    <cellStyle name="Normal 13 4 5" xfId="3464" xr:uid="{5FA35FF7-8A6A-45AA-B59F-E5D0B0072134}"/>
    <cellStyle name="Normal 13 5" xfId="588" xr:uid="{00000000-0005-0000-0000-000088010000}"/>
    <cellStyle name="Normal 13 5 2" xfId="799" xr:uid="{00000000-0005-0000-0000-000089010000}"/>
    <cellStyle name="Normal 13 5 2 2" xfId="3731" xr:uid="{8644AD11-210A-42EF-9B5B-AF7F44B73F9C}"/>
    <cellStyle name="Normal 13 5 3" xfId="3522" xr:uid="{D0CC3A7A-A3AA-4FF0-8A96-71FEFD89F890}"/>
    <cellStyle name="Normal 13 6" xfId="693" xr:uid="{00000000-0005-0000-0000-00008A010000}"/>
    <cellStyle name="Normal 13 6 2" xfId="3626" xr:uid="{E61ABA0A-B330-4BFD-9C72-4155C0CEE475}"/>
    <cellStyle name="Normal 13 7" xfId="1307" xr:uid="{0823F6CE-9006-4667-A384-5A18B24F26C4}"/>
    <cellStyle name="Normal 13 8" xfId="3402" xr:uid="{B85AEF03-6F9D-48A1-8D81-D05BD24CDA0A}"/>
    <cellStyle name="Normal 14" xfId="350" xr:uid="{00000000-0005-0000-0000-00008B010000}"/>
    <cellStyle name="Normal 14 2" xfId="525" xr:uid="{00000000-0005-0000-0000-00008C010000}"/>
    <cellStyle name="Normal 14 2 2" xfId="2210" xr:uid="{0DD9191A-8CAB-49F9-B958-B41F80B9B104}"/>
    <cellStyle name="Normal 14 2 2 2" xfId="4700" xr:uid="{4E6C1D54-262F-4CAD-AD8B-BB6BA9031262}"/>
    <cellStyle name="Normal 14 3" xfId="2237" xr:uid="{872AA135-9884-44AC-9755-B1AFEC9A8283}"/>
    <cellStyle name="Normal 14 4" xfId="2201" xr:uid="{98C646ED-8A1A-46A3-89D7-0C10946966BA}"/>
    <cellStyle name="Normal 14 4 2" xfId="4692" xr:uid="{9EEBF99A-AE95-43FF-8905-F23CA47C230E}"/>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2 2" xfId="3817" xr:uid="{3C9A48A3-4420-4E39-8186-CE88FEB5476A}"/>
    <cellStyle name="Normal 15 2 2 2 3" xfId="2957" xr:uid="{E0387569-ACE5-4B09-B2B5-568300CC1555}"/>
    <cellStyle name="Normal 15 2 2 2 3 2" xfId="5392" xr:uid="{1949A3F0-89EF-4187-B028-D8F47F50D96D}"/>
    <cellStyle name="Normal 15 2 2 2 4" xfId="3608" xr:uid="{DA1CA481-F66F-4C2A-A293-5822BD6695E2}"/>
    <cellStyle name="Normal 15 2 2 3" xfId="779" xr:uid="{00000000-0005-0000-0000-000092010000}"/>
    <cellStyle name="Normal 15 2 2 3 2" xfId="3712" xr:uid="{BA996C26-CE78-4074-AF13-D7BEFDFA15B7}"/>
    <cellStyle name="Normal 15 2 2 4" xfId="2119" xr:uid="{FACAD500-77C1-497F-AA6B-1548A0E50F44}"/>
    <cellStyle name="Normal 15 2 2 4 2" xfId="4636" xr:uid="{D94930F4-9598-4046-9A56-7EE2FF8ECDB5}"/>
    <cellStyle name="Normal 15 2 2 5" xfId="3498" xr:uid="{E9594448-F445-4851-8753-3707764C88E2}"/>
    <cellStyle name="Normal 15 2 3" xfId="622" xr:uid="{00000000-0005-0000-0000-000093010000}"/>
    <cellStyle name="Normal 15 2 3 2" xfId="833" xr:uid="{00000000-0005-0000-0000-000094010000}"/>
    <cellStyle name="Normal 15 2 3 2 2" xfId="3765" xr:uid="{064CF673-2985-48A7-BC34-045482DD8BF3}"/>
    <cellStyle name="Normal 15 2 3 3" xfId="2376" xr:uid="{F6B08547-CBDB-4E30-84B3-15BCB12EF944}"/>
    <cellStyle name="Normal 15 2 3 3 2" xfId="4811" xr:uid="{F19067C9-4C98-4CD2-B02E-3A6B64ACFB1E}"/>
    <cellStyle name="Normal 15 2 3 4" xfId="3556" xr:uid="{1AC56A3A-ED37-4D3B-B0F7-94AE59ED0465}"/>
    <cellStyle name="Normal 15 2 4" xfId="727" xr:uid="{00000000-0005-0000-0000-000095010000}"/>
    <cellStyle name="Normal 15 2 4 2" xfId="3660" xr:uid="{E4423D4D-DDDC-4D47-A79E-D3834F25B2A8}"/>
    <cellStyle name="Normal 15 2 5" xfId="1310" xr:uid="{B1ACDB92-0B5B-4A74-B56B-82E695355E53}"/>
    <cellStyle name="Normal 15 2 5 2" xfId="3941" xr:uid="{E1A2D4D6-0D73-4B3A-8861-422CBF339342}"/>
    <cellStyle name="Normal 15 2 6" xfId="3441" xr:uid="{8A4A1F97-8D83-4507-B2E6-3E30FE36A56C}"/>
    <cellStyle name="Normal 15 3" xfId="492" xr:uid="{00000000-0005-0000-0000-000096010000}"/>
    <cellStyle name="Normal 15 3 2" xfId="648" xr:uid="{00000000-0005-0000-0000-000097010000}"/>
    <cellStyle name="Normal 15 3 2 2" xfId="859" xr:uid="{00000000-0005-0000-0000-000098010000}"/>
    <cellStyle name="Normal 15 3 2 2 2" xfId="3791" xr:uid="{88DBD3FF-D4F3-4F11-96C9-501CEF9F2ABA}"/>
    <cellStyle name="Normal 15 3 2 3" xfId="2787" xr:uid="{61851684-E9E0-43D1-AE13-D0AAF5A67777}"/>
    <cellStyle name="Normal 15 3 2 3 2" xfId="5222" xr:uid="{904C6574-44D4-4A08-B9E9-AD20F4CCABFF}"/>
    <cellStyle name="Normal 15 3 2 4" xfId="3582" xr:uid="{1124AB39-9A31-42EA-B2DF-C48B5A1499EB}"/>
    <cellStyle name="Normal 15 3 3" xfId="753" xr:uid="{00000000-0005-0000-0000-000099010000}"/>
    <cellStyle name="Normal 15 3 3 2" xfId="3686" xr:uid="{8D6737F4-5D31-45E5-B3B7-2CE4CC66F0DD}"/>
    <cellStyle name="Normal 15 3 4" xfId="1949" xr:uid="{E3E29C29-2977-4ADE-A2BC-351F8CE28D0D}"/>
    <cellStyle name="Normal 15 3 4 2" xfId="4466" xr:uid="{C8B32E0E-ECB0-474E-8417-86F7A927ABAE}"/>
    <cellStyle name="Normal 15 3 5" xfId="3472" xr:uid="{99CBEFD2-53AD-43E8-B61B-949E4A5210BA}"/>
    <cellStyle name="Normal 15 4" xfId="596" xr:uid="{00000000-0005-0000-0000-00009A010000}"/>
    <cellStyle name="Normal 15 4 2" xfId="807" xr:uid="{00000000-0005-0000-0000-00009B010000}"/>
    <cellStyle name="Normal 15 4 2 2" xfId="3739" xr:uid="{CB339ABD-9C13-4FE9-BAD9-FBE1222F67F5}"/>
    <cellStyle name="Normal 15 4 3" xfId="2250" xr:uid="{16D423AB-C584-47A5-8EB6-A13A83539A06}"/>
    <cellStyle name="Normal 15 4 3 2" xfId="4715" xr:uid="{1B418C50-4107-4630-8475-B15F5457E3C5}"/>
    <cellStyle name="Normal 15 4 4" xfId="3530" xr:uid="{FABDA8FA-703B-49F9-8957-3B3C759C2E43}"/>
    <cellStyle name="Normal 15 5" xfId="701" xr:uid="{00000000-0005-0000-0000-00009C010000}"/>
    <cellStyle name="Normal 15 5 2" xfId="2375" xr:uid="{D210574B-B941-466F-AE6F-1D16F5B7C128}"/>
    <cellStyle name="Normal 15 5 2 2" xfId="4810" xr:uid="{548AAD45-A45A-4530-8173-4CAB4B5447E2}"/>
    <cellStyle name="Normal 15 5 3" xfId="3634" xr:uid="{66D21796-EF58-4A27-BF1D-69A85A5F5723}"/>
    <cellStyle name="Normal 15 6" xfId="1309" xr:uid="{9269CDDA-494E-4B6C-B353-2DF34A2C7E51}"/>
    <cellStyle name="Normal 15 6 2" xfId="3940" xr:uid="{16C9D86E-4BE8-40D4-BD4D-EBB0D0399BC4}"/>
    <cellStyle name="Normal 15 7" xfId="3410" xr:uid="{F4616C54-6863-4789-A84D-A09A55AF2CCB}"/>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2 2 2" xfId="5393" xr:uid="{301BA111-A1FB-4C65-842A-4B19CE0CA061}"/>
    <cellStyle name="Normal 16 2 2 3" xfId="4637" xr:uid="{B83FEF0A-B120-4FD5-8437-59D9FDF443A3}"/>
    <cellStyle name="Normal 16 2 3" xfId="2378" xr:uid="{5F37D00A-41B4-4108-A70B-72EB3368C309}"/>
    <cellStyle name="Normal 16 2 3 2" xfId="4813" xr:uid="{52012FAC-52B7-4EB1-B70A-BD48BDD1D2E8}"/>
    <cellStyle name="Normal 16 2 4" xfId="3943" xr:uid="{1325E1E3-22BC-4586-B686-D0C8E748E1F6}"/>
    <cellStyle name="Normal 16 3" xfId="1950" xr:uid="{4C03A992-2D06-4BBB-83AB-E80333C81C71}"/>
    <cellStyle name="Normal 16 3 2" xfId="2788" xr:uid="{84112764-30AB-4764-A843-B48178873FFF}"/>
    <cellStyle name="Normal 16 3 2 2" xfId="5223" xr:uid="{48914835-A031-47B6-94E2-019989BED433}"/>
    <cellStyle name="Normal 16 3 3" xfId="4467" xr:uid="{92A9540D-7EF8-4281-B719-286311C352D8}"/>
    <cellStyle name="Normal 16 4" xfId="2377" xr:uid="{D44DFBB8-C2DF-4C80-95C7-AA091B75CCA1}"/>
    <cellStyle name="Normal 16 4 2" xfId="4812" xr:uid="{C387E5CA-6381-4973-9B99-2A597AD7F875}"/>
    <cellStyle name="Normal 16 5" xfId="1311" xr:uid="{D79D8932-4180-4FAF-BF13-F3546DA2C8DC}"/>
    <cellStyle name="Normal 16 5 2" xfId="3942" xr:uid="{5F2F03AC-5737-483F-A138-F44999ABEB8B}"/>
    <cellStyle name="Normal 165" xfId="2284" xr:uid="{B8C1ABD9-4EDC-4849-8C1E-1B841AA9516A}"/>
    <cellStyle name="Normal 165 2" xfId="4719" xr:uid="{2134C2C3-4CB6-423A-BFFB-02204DC26EA3}"/>
    <cellStyle name="Normal 168" xfId="2285" xr:uid="{9DB8BC59-033A-4D3A-9793-1A40E8FD21A2}"/>
    <cellStyle name="Normal 168 2" xfId="4720" xr:uid="{534BEE7F-B2C4-4497-A789-98A9EEF4EF2D}"/>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2 2 2" xfId="5394" xr:uid="{E89BF2BB-2BB7-4BE3-8741-B3545ABA1E75}"/>
    <cellStyle name="Normal 17 2 2 2 3" xfId="3792" xr:uid="{0B247C12-EEF4-40E2-9DA0-4E52B6C7D5D6}"/>
    <cellStyle name="Normal 17 2 2 3" xfId="2121" xr:uid="{33AA9152-B9EF-4F9C-9878-D7635051E323}"/>
    <cellStyle name="Normal 17 2 2 3 2" xfId="4638" xr:uid="{49E5FC20-3E4F-4D2C-BF07-7FBAEDC66B4B}"/>
    <cellStyle name="Normal 17 2 2 4" xfId="3583" xr:uid="{98F663D0-0EDB-4BF2-8992-4C3EE52F2D45}"/>
    <cellStyle name="Normal 17 2 3" xfId="754" xr:uid="{00000000-0005-0000-0000-0000A2010000}"/>
    <cellStyle name="Normal 17 2 3 2" xfId="2380" xr:uid="{69B432DD-A864-45EC-A6B7-D1DFA71D9ADF}"/>
    <cellStyle name="Normal 17 2 3 2 2" xfId="4815" xr:uid="{E92DFAAD-6FB1-4B25-BBD0-E565F09F740B}"/>
    <cellStyle name="Normal 17 2 3 3" xfId="3687" xr:uid="{65E19AF4-7EAD-4AFF-BD09-BCB5F2A84B7D}"/>
    <cellStyle name="Normal 17 2 4" xfId="1314" xr:uid="{D6A1770A-5520-4769-A95B-CF920564037F}"/>
    <cellStyle name="Normal 17 2 4 2" xfId="3945" xr:uid="{B30DF4DD-E61F-4F46-AD4A-701CF3197806}"/>
    <cellStyle name="Normal 17 2 5" xfId="3473" xr:uid="{E689616D-EB36-4967-9328-8C3D5BF58832}"/>
    <cellStyle name="Normal 17 3" xfId="597" xr:uid="{00000000-0005-0000-0000-0000A3010000}"/>
    <cellStyle name="Normal 17 3 2" xfId="808" xr:uid="{00000000-0005-0000-0000-0000A4010000}"/>
    <cellStyle name="Normal 17 3 2 2" xfId="2789" xr:uid="{9C97885F-EC3A-460F-B574-D10D4676B590}"/>
    <cellStyle name="Normal 17 3 2 2 2" xfId="5224" xr:uid="{9213338B-E9D8-402C-8394-91539927DAF2}"/>
    <cellStyle name="Normal 17 3 2 3" xfId="3740" xr:uid="{843409E5-BD94-43AB-94FD-FD70A9CB58BA}"/>
    <cellStyle name="Normal 17 3 3" xfId="1951" xr:uid="{0C529913-0AD0-4082-85CE-C6EC05C7D33D}"/>
    <cellStyle name="Normal 17 3 3 2" xfId="4468" xr:uid="{E5F50EF6-576F-490C-9E52-FCA892E80892}"/>
    <cellStyle name="Normal 17 3 4" xfId="3531" xr:uid="{A2561A19-115F-4A09-A21B-F409147989A5}"/>
    <cellStyle name="Normal 17 4" xfId="702" xr:uid="{00000000-0005-0000-0000-0000A5010000}"/>
    <cellStyle name="Normal 17 4 2" xfId="2379" xr:uid="{9C27CD71-70FB-4874-BE7D-383D249388BC}"/>
    <cellStyle name="Normal 17 4 2 2" xfId="4814" xr:uid="{E2C23106-CB8B-47DE-9F42-BBE8EF6A81CF}"/>
    <cellStyle name="Normal 17 4 3" xfId="3635" xr:uid="{F6BB82E0-06CD-4AF4-B85F-24ABEC3DD4E4}"/>
    <cellStyle name="Normal 17 5" xfId="1313" xr:uid="{2A8E8EB0-E351-41B4-B3ED-A9DE8ED5AFA5}"/>
    <cellStyle name="Normal 17 5 2" xfId="3944" xr:uid="{4492F707-6149-495F-8FC5-1CC1B98899F0}"/>
    <cellStyle name="Normal 17 6" xfId="3411" xr:uid="{AE8665FB-3ECC-452F-99C0-925F19291047}"/>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2 2 2" xfId="5395" xr:uid="{62EB448F-7669-43C7-B848-B14FF15C6D83}"/>
    <cellStyle name="Normal 18 2 2 3" xfId="4639" xr:uid="{DB8D48F2-F732-4A51-94C2-E4257405C49B}"/>
    <cellStyle name="Normal 18 2 3" xfId="2382" xr:uid="{D74C2703-BCB4-424E-BFD4-4FFEED7732C1}"/>
    <cellStyle name="Normal 18 2 3 2" xfId="4817" xr:uid="{8CDE6BB5-FAAA-4826-917C-A9FB6F2F484B}"/>
    <cellStyle name="Normal 18 2 4" xfId="3947" xr:uid="{3865105E-4B9F-442A-BFEA-CC768221EC36}"/>
    <cellStyle name="Normal 18 3" xfId="1952" xr:uid="{6DDD70DF-9106-4F18-A395-3CDB68AAFC87}"/>
    <cellStyle name="Normal 18 3 2" xfId="2790" xr:uid="{1E990523-948E-4826-A0B1-8C611AB2E1FA}"/>
    <cellStyle name="Normal 18 3 2 2" xfId="5225" xr:uid="{19F911FF-7B1E-4206-9923-501D2DC3D2BD}"/>
    <cellStyle name="Normal 18 3 3" xfId="4469" xr:uid="{71EE2AB4-D8B7-4AA9-8303-3C951411F098}"/>
    <cellStyle name="Normal 18 4" xfId="2381" xr:uid="{2968BD70-1B29-40B6-8420-4CEDE7353D2B}"/>
    <cellStyle name="Normal 18 4 2" xfId="4816" xr:uid="{90B915B3-376C-481E-9934-822AE79BB255}"/>
    <cellStyle name="Normal 18 5" xfId="1315" xr:uid="{D3D87B67-D586-4984-96D1-48DD869CFCA4}"/>
    <cellStyle name="Normal 18 5 2" xfId="3946" xr:uid="{60E91AA6-D683-499E-A395-9A733B36681F}"/>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2 2 2" xfId="5396" xr:uid="{B91DC0D4-B0F5-4A71-8EE2-7375C2FE2063}"/>
    <cellStyle name="Normal 19 2 2 3" xfId="4640" xr:uid="{2EF54178-05F6-42D5-B318-B46E8CD9966C}"/>
    <cellStyle name="Normal 19 2 3" xfId="2384" xr:uid="{CD542455-9614-4416-9C89-CC59F53D741A}"/>
    <cellStyle name="Normal 19 2 3 2" xfId="4819" xr:uid="{6B4E1648-CC67-40FE-A7F6-6A0126F1B637}"/>
    <cellStyle name="Normal 19 2 4" xfId="3949" xr:uid="{54E37618-FFC8-4D3D-A672-C9ADA5244711}"/>
    <cellStyle name="Normal 19 3" xfId="1953" xr:uid="{BA1D3E27-1356-44FA-AC9F-02773BD89958}"/>
    <cellStyle name="Normal 19 3 2" xfId="2791" xr:uid="{31CC1185-EAB4-4382-BD43-BC7F204D14B4}"/>
    <cellStyle name="Normal 19 3 2 2" xfId="5226" xr:uid="{83F6BB47-C23D-4A89-9AE1-53AB9DAF5D41}"/>
    <cellStyle name="Normal 19 3 3" xfId="4470" xr:uid="{1D98A2D9-011B-4A14-968E-8C4BB40F2797}"/>
    <cellStyle name="Normal 19 4" xfId="2383" xr:uid="{6A27CE8B-B996-4E34-AFCC-FB006C92EFC9}"/>
    <cellStyle name="Normal 19 4 2" xfId="4818" xr:uid="{5963CBD8-A5E6-4F0A-9CF2-88D23B3A16BC}"/>
    <cellStyle name="Normal 19 5" xfId="1317" xr:uid="{227A798D-C2BB-45E1-A183-962A3DAA4356}"/>
    <cellStyle name="Normal 19 5 2" xfId="3948" xr:uid="{DFA1CC99-7CAF-48D8-A55A-9A33064157AF}"/>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2 2 2" xfId="5287" xr:uid="{43ED6F18-F275-4B46-BEC5-76715AB7894B}"/>
    <cellStyle name="Normal 2 11 2 2 3" xfId="4531" xr:uid="{40B6A095-6515-4E5F-8AED-5AD04080B85E}"/>
    <cellStyle name="Normal 2 11 2 3" xfId="2386" xr:uid="{66ACB7DF-CF30-4668-88BF-408516A9A742}"/>
    <cellStyle name="Normal 2 11 2 3 2" xfId="4821" xr:uid="{A99BD8FD-E760-416E-9CD7-A66F6E8F7FAA}"/>
    <cellStyle name="Normal 2 11 2 4" xfId="3951" xr:uid="{0E567452-956A-4904-AFF8-550956D8BA52}"/>
    <cellStyle name="Normal 2 11 3" xfId="1844" xr:uid="{783999FE-24AD-42C4-9760-46E8091D4CD2}"/>
    <cellStyle name="Normal 2 11 3 2" xfId="2682" xr:uid="{9E8F8C7D-DE58-4371-AB40-92ABC3D5F7E4}"/>
    <cellStyle name="Normal 2 11 3 2 2" xfId="5117" xr:uid="{C52970B8-6F52-4CD1-86F4-F0DC5B0A2ACA}"/>
    <cellStyle name="Normal 2 11 3 3" xfId="4361" xr:uid="{106F619A-3B1B-4CD8-A917-CEBA823ACC97}"/>
    <cellStyle name="Normal 2 11 4" xfId="2385" xr:uid="{A7EAE794-DD64-4738-BA0D-3AEA1FAA70F9}"/>
    <cellStyle name="Normal 2 11 4 2" xfId="4820" xr:uid="{EFC0544F-EA8E-45E9-B391-74BEBDD6948A}"/>
    <cellStyle name="Normal 2 11 5" xfId="3950" xr:uid="{8992F2A1-5AF2-4A44-AC30-A41621146585}"/>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2 2" xfId="5397" xr:uid="{3DC3652D-B002-4353-BA6D-A2399D8FDE87}"/>
    <cellStyle name="Normal 20 2 2 3" xfId="2124" xr:uid="{169EB7EC-60EA-4449-8AAA-2BBA501DFD3C}"/>
    <cellStyle name="Normal 20 2 2 3 2" xfId="4641" xr:uid="{24AD87CB-CA1C-4127-BF94-7EEE0EB31DB0}"/>
    <cellStyle name="Normal 20 2 2 4" xfId="3766" xr:uid="{66E25F9E-5BEE-4F15-9528-5C77E952B8CE}"/>
    <cellStyle name="Normal 20 2 3" xfId="2388" xr:uid="{BB414916-797E-4DA0-B6E5-C48AF6F117D0}"/>
    <cellStyle name="Normal 20 2 3 2" xfId="4823" xr:uid="{2C04255B-0D5D-468A-8E96-064841BBB988}"/>
    <cellStyle name="Normal 20 2 4" xfId="1351" xr:uid="{38BAB4FA-DBFB-4A24-AC7F-71CFFD4EB269}"/>
    <cellStyle name="Normal 20 2 4 2" xfId="3953" xr:uid="{A59EE2CE-B76B-4452-BF23-7BD22CDAE0DC}"/>
    <cellStyle name="Normal 20 2 5" xfId="3557" xr:uid="{C10EAF16-4439-4F1E-A07D-176A43248214}"/>
    <cellStyle name="Normal 20 3" xfId="728" xr:uid="{00000000-0005-0000-0000-0000AD010000}"/>
    <cellStyle name="Normal 20 3 2" xfId="2792" xr:uid="{2289E143-5F1A-4D0E-9750-2160A421F150}"/>
    <cellStyle name="Normal 20 3 2 2" xfId="5227" xr:uid="{622881A6-6084-47E5-ADAF-8E2A8A089ED7}"/>
    <cellStyle name="Normal 20 3 3" xfId="1954" xr:uid="{72E24B07-FEC6-44DF-B30C-C6B1BF7B9765}"/>
    <cellStyle name="Normal 20 3 3 2" xfId="4471" xr:uid="{AA833831-B161-4D11-9B3C-E4953D11C5C2}"/>
    <cellStyle name="Normal 20 3 4" xfId="3661" xr:uid="{57286AE5-4C27-4B56-AF7C-94FA56B78C12}"/>
    <cellStyle name="Normal 20 4" xfId="2387" xr:uid="{D696C344-F064-451F-854E-ADBEC68ED8D4}"/>
    <cellStyle name="Normal 20 4 2" xfId="4822" xr:uid="{6B67119D-22CA-456B-B4B0-00FE7F75F049}"/>
    <cellStyle name="Normal 20 5" xfId="1350" xr:uid="{80F78A6F-7B63-4875-ABA9-ABF5ABAFA689}"/>
    <cellStyle name="Normal 20 5 2" xfId="3952" xr:uid="{065DBBD5-52F9-47E2-9CF3-956D7D0B107A}"/>
    <cellStyle name="Normal 20 6" xfId="3442" xr:uid="{4D0618BF-5EFA-4225-89B1-BD0372D48FDF}"/>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2 2 2" xfId="5398" xr:uid="{C2D4B118-C01F-4CEC-B9D7-26C04167F36D}"/>
    <cellStyle name="Normal 21 2 2 3" xfId="4642" xr:uid="{432C66DD-4C07-4DA9-8622-B122701246FE}"/>
    <cellStyle name="Normal 21 2 3" xfId="2390" xr:uid="{91CE1401-BE1F-45BF-A152-56FA5AFA48C7}"/>
    <cellStyle name="Normal 21 2 3 2" xfId="4825" xr:uid="{D413519D-DFA1-49B1-889C-8524820492A3}"/>
    <cellStyle name="Normal 21 2 4" xfId="1353" xr:uid="{7DD5D63B-E42A-45A2-8B1F-BFD010A2AFCD}"/>
    <cellStyle name="Normal 21 2 4 2" xfId="3955" xr:uid="{85AA1B57-890C-45CA-9278-CFA9236E8CED}"/>
    <cellStyle name="Normal 21 3" xfId="1955" xr:uid="{600D905C-D79A-48BF-97C0-7952719E8ECF}"/>
    <cellStyle name="Normal 21 3 2" xfId="2793" xr:uid="{64CB2E86-D41C-4B35-93AE-3ABD982EEEFE}"/>
    <cellStyle name="Normal 21 3 2 2" xfId="5228" xr:uid="{F2845472-DEAD-4F30-9D7D-5BD71B1A8D65}"/>
    <cellStyle name="Normal 21 3 3" xfId="4472" xr:uid="{9DBFDA4B-667A-4D05-9B5A-7850B69D7BC7}"/>
    <cellStyle name="Normal 21 4" xfId="2389" xr:uid="{1A457300-7421-4804-8D1C-D2C75AD26C19}"/>
    <cellStyle name="Normal 21 4 2" xfId="4824" xr:uid="{DF6C1792-2487-4802-AC84-020612F0C991}"/>
    <cellStyle name="Normal 21 5" xfId="1352" xr:uid="{C4E9EFBD-D3E7-4156-986A-830FD7DEB25D}"/>
    <cellStyle name="Normal 21 5 2" xfId="3954" xr:uid="{929CDAFB-7288-4D86-8E48-C31D084C434A}"/>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2 2 2" xfId="5399" xr:uid="{E7A329D6-691C-4343-A9B2-286D6787B43C}"/>
    <cellStyle name="Normal 22 2 2 3" xfId="4643" xr:uid="{251CA35B-8CF2-4023-A071-601F50829A79}"/>
    <cellStyle name="Normal 22 2 3" xfId="2392" xr:uid="{E83A219D-4400-493C-8A05-E344A27580D9}"/>
    <cellStyle name="Normal 22 2 3 2" xfId="4827" xr:uid="{9D8743E9-12F0-4087-9382-923E72E329F8}"/>
    <cellStyle name="Normal 22 2 4" xfId="1355" xr:uid="{CAE9DF9A-0F53-4FD4-87E4-9FEBF4FCC933}"/>
    <cellStyle name="Normal 22 2 4 2" xfId="3957" xr:uid="{015B48EE-0DD1-4E4E-9D2F-B54BB0C62D82}"/>
    <cellStyle name="Normal 22 3" xfId="1956" xr:uid="{0A17F3A3-886B-42F6-A667-28C933F3176F}"/>
    <cellStyle name="Normal 22 3 2" xfId="2794" xr:uid="{A042C05D-6080-40D8-8BDB-AA3C083E144C}"/>
    <cellStyle name="Normal 22 3 2 2" xfId="5229" xr:uid="{9A48BDCC-470D-4B03-8493-3E58673D38BC}"/>
    <cellStyle name="Normal 22 3 3" xfId="4473" xr:uid="{B54FC859-A40E-47E7-BBED-5379690DB0DF}"/>
    <cellStyle name="Normal 22 4" xfId="2391" xr:uid="{8172BACF-4EBF-49DD-96A1-E3EF1FCD0A27}"/>
    <cellStyle name="Normal 22 4 2" xfId="4826" xr:uid="{298D82FD-E34C-4399-875C-086DB8786173}"/>
    <cellStyle name="Normal 22 5" xfId="1354" xr:uid="{7A2D3203-3B34-4E82-B9B3-C79CBECC613C}"/>
    <cellStyle name="Normal 22 5 2" xfId="3956" xr:uid="{524D7972-82A3-4DA5-96A6-5376C9C58D5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2 2 2" xfId="5400" xr:uid="{AB5EF205-8DA9-45E1-8163-7F04988F3972}"/>
    <cellStyle name="Normal 23 2 2 3" xfId="4644" xr:uid="{43EFF616-7460-4FB4-9DD9-D5325474BE3E}"/>
    <cellStyle name="Normal 23 2 3" xfId="2394" xr:uid="{05B91AC1-61A5-4480-8FF3-DA4F87F269A4}"/>
    <cellStyle name="Normal 23 2 3 2" xfId="4829" xr:uid="{126CD790-CCA4-4B31-9D5C-CFBE05800D10}"/>
    <cellStyle name="Normal 23 2 4" xfId="1357" xr:uid="{9C686519-B3CD-43C4-9470-B4BE992CA98E}"/>
    <cellStyle name="Normal 23 2 4 2" xfId="3959" xr:uid="{E6647A56-A34A-4376-8141-73DBCA9B1101}"/>
    <cellStyle name="Normal 23 2 5" xfId="3714" xr:uid="{F3F96F2E-758B-4C79-B5F0-3081F1A8115E}"/>
    <cellStyle name="Normal 23 3" xfId="1957" xr:uid="{3EAB5E34-AC6D-4489-9CC0-584BBC157D23}"/>
    <cellStyle name="Normal 23 3 2" xfId="2795" xr:uid="{25292699-2F30-4E41-9A4B-AF7181E133EF}"/>
    <cellStyle name="Normal 23 3 2 2" xfId="5230" xr:uid="{ADE08D11-4937-4733-92A3-2A7760221EB7}"/>
    <cellStyle name="Normal 23 3 3" xfId="4474" xr:uid="{93A61AAC-24B5-4832-9F53-A9ED99038B0D}"/>
    <cellStyle name="Normal 23 4" xfId="2393" xr:uid="{CE0FBA6F-460C-4DA9-8588-806D4FDDF239}"/>
    <cellStyle name="Normal 23 4 2" xfId="4828" xr:uid="{FC892AF1-CB9F-43E2-A1A6-CC475625E231}"/>
    <cellStyle name="Normal 23 5" xfId="1356" xr:uid="{F9F1A23E-B674-4C89-A948-C50929D25E12}"/>
    <cellStyle name="Normal 23 5 2" xfId="3958" xr:uid="{839AD1A7-AE2F-42AD-9309-CAD1D673DF00}"/>
    <cellStyle name="Normal 23 6" xfId="3500" xr:uid="{8BBC8004-E123-43CA-BC29-BA8E9666221C}"/>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2 2 2" xfId="5401" xr:uid="{C1EF9FE8-AF48-4956-9962-0B6F066F1BBC}"/>
    <cellStyle name="Normal 24 2 2 3" xfId="4645" xr:uid="{7B0F988D-EFBF-43F7-94CA-CD8A9BBDF8B8}"/>
    <cellStyle name="Normal 24 2 3" xfId="2396" xr:uid="{06B09A4F-BE22-49C8-9E00-950EAD5A6EB3}"/>
    <cellStyle name="Normal 24 2 3 2" xfId="4831" xr:uid="{FD97315B-DEB8-41FF-A8A9-9BAC74C7B44D}"/>
    <cellStyle name="Normal 24 2 4" xfId="3961" xr:uid="{83E4D351-34FD-4B93-BBB9-65D051438488}"/>
    <cellStyle name="Normal 24 3" xfId="1958" xr:uid="{5A078C6E-8CBC-420B-A4D5-B1BC2731A8C7}"/>
    <cellStyle name="Normal 24 3 2" xfId="2796" xr:uid="{29B42199-9B35-475C-826C-37C07583E2ED}"/>
    <cellStyle name="Normal 24 3 2 2" xfId="5231" xr:uid="{B205D298-8ACD-4CC1-BB6D-8EBFC9264B82}"/>
    <cellStyle name="Normal 24 3 3" xfId="4475" xr:uid="{86670CF5-BDF9-470A-9821-2D14E08F0CFE}"/>
    <cellStyle name="Normal 24 4" xfId="2395" xr:uid="{C1F5721B-0063-4118-8D42-FFDE4016C75E}"/>
    <cellStyle name="Normal 24 4 2" xfId="4830" xr:uid="{339AC804-8004-40B0-8D61-1671570175BF}"/>
    <cellStyle name="Normal 24 5" xfId="1358" xr:uid="{6610B6C5-9C18-4469-8A25-748B600F0E4A}"/>
    <cellStyle name="Normal 24 5 2" xfId="3960" xr:uid="{5E7D1F7C-9D4C-464B-B980-B4D4AA8142D3}"/>
    <cellStyle name="Normal 24 6" xfId="3819" xr:uid="{5964A967-47C5-4B65-B6F4-C23999056BC9}"/>
    <cellStyle name="Normal 25" xfId="892" xr:uid="{68006706-7F3A-4028-8E01-529886742ED7}"/>
    <cellStyle name="Normal 25 2" xfId="2967" xr:uid="{F82BFECA-AD3A-472B-925A-977DFB79C09B}"/>
    <cellStyle name="Normal 25 2 2" xfId="5402" xr:uid="{C9F53040-DB38-496B-BC14-DBDF5E0F4967}"/>
    <cellStyle name="Normal 25 3" xfId="3823" xr:uid="{2AB35E4E-E4B9-48A6-8AE7-B47E144414BB}"/>
    <cellStyle name="Normal 26" xfId="2129" xr:uid="{1C43A721-B051-4254-9E3D-D6AF18C32F81}"/>
    <cellStyle name="Normal 26 2" xfId="4646" xr:uid="{433911DF-0B34-46F9-8F71-7D92F0D55C3A}"/>
    <cellStyle name="Normal 27" xfId="2172" xr:uid="{36520028-2908-4756-BB66-0C08F2B9715E}"/>
    <cellStyle name="Normal 27 2" xfId="4673" xr:uid="{75A589F4-23B6-4A97-AAB9-BC542D03198B}"/>
    <cellStyle name="Normal 28" xfId="2143" xr:uid="{0966DCF3-83EC-4692-9616-FECEED1FC19D}"/>
    <cellStyle name="Normal 28 2" xfId="2269" xr:uid="{85436D53-DF83-4D9D-9232-9F47D4D8C51E}"/>
    <cellStyle name="Normal 28 2 2" xfId="4717" xr:uid="{968DF470-00E3-4225-A6BD-F3DCF717A1D6}"/>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10 2" xfId="4833" xr:uid="{E9E743AF-101E-4BD4-BC77-185743C15636}"/>
    <cellStyle name="Normal 3 3 11" xfId="3963" xr:uid="{A2A470E7-028B-4F73-9E65-BE53B6C355FC}"/>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2 2 2" xfId="5292" xr:uid="{CFA9E721-B1E2-457B-A137-430861CA0A2E}"/>
    <cellStyle name="Normal 3 3 2 2 2 2 2 2 3" xfId="4536" xr:uid="{12D5B55F-26D8-421E-B12D-48CF3F0F9BA0}"/>
    <cellStyle name="Normal 3 3 2 2 2 2 2 3" xfId="2403" xr:uid="{40FB1E3D-79C0-4741-90A1-776097BFC2BF}"/>
    <cellStyle name="Normal 3 3 2 2 2 2 2 3 2" xfId="4838" xr:uid="{954D6A02-AB05-41EA-940E-B5B22FFF3D97}"/>
    <cellStyle name="Normal 3 3 2 2 2 2 2 4" xfId="3968" xr:uid="{0FF2E7DB-0AE7-44C5-B21A-E3E4A33A8708}"/>
    <cellStyle name="Normal 3 3 2 2 2 2 3" xfId="1849" xr:uid="{D30F4E70-3860-463F-8105-71D29D781F0C}"/>
    <cellStyle name="Normal 3 3 2 2 2 2 3 2" xfId="2687" xr:uid="{C7CCC6EA-161F-4F25-AC1F-F1F82C3FB49D}"/>
    <cellStyle name="Normal 3 3 2 2 2 2 3 2 2" xfId="5122" xr:uid="{02450BBA-59F1-4FA5-ADC6-6BF4E67FDD45}"/>
    <cellStyle name="Normal 3 3 2 2 2 2 3 3" xfId="4366" xr:uid="{B0AB3D4B-F8E4-4784-8889-A7D3315AC492}"/>
    <cellStyle name="Normal 3 3 2 2 2 2 4" xfId="2402" xr:uid="{F74A138B-AB39-4613-8474-46BAEE1290CA}"/>
    <cellStyle name="Normal 3 3 2 2 2 2 4 2" xfId="4837" xr:uid="{D5B1A4DE-B468-4D85-B40E-7AABAF31CB2A}"/>
    <cellStyle name="Normal 3 3 2 2 2 2 5" xfId="3967" xr:uid="{DAF40205-9F53-4285-BD1E-5BCFF5DB6B1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2 2 2" xfId="5293" xr:uid="{18BC12D3-3BA7-42C9-8040-D59DF97B2B9F}"/>
    <cellStyle name="Normal 3 3 2 2 2 3 2 2 3" xfId="4537" xr:uid="{40A24C32-DD81-44CC-A4B2-89555DBAFF27}"/>
    <cellStyle name="Normal 3 3 2 2 2 3 2 3" xfId="2405" xr:uid="{4559754D-F333-4590-A20D-56169282588D}"/>
    <cellStyle name="Normal 3 3 2 2 2 3 2 3 2" xfId="4840" xr:uid="{82E385C4-CB86-402C-93DD-18527BFB15FD}"/>
    <cellStyle name="Normal 3 3 2 2 2 3 2 4" xfId="3970" xr:uid="{608CFF42-4626-4B59-B2FA-6308A1A90D4B}"/>
    <cellStyle name="Normal 3 3 2 2 2 3 3" xfId="1850" xr:uid="{292991B7-DAE1-4619-8C3C-D5656DA5BD4D}"/>
    <cellStyle name="Normal 3 3 2 2 2 3 3 2" xfId="2688" xr:uid="{1A2507BD-0F97-4C8D-A19B-20D0D1BC7FE1}"/>
    <cellStyle name="Normal 3 3 2 2 2 3 3 2 2" xfId="5123" xr:uid="{1ED7135E-7376-485D-B265-E2A337F25770}"/>
    <cellStyle name="Normal 3 3 2 2 2 3 3 3" xfId="4367" xr:uid="{DF06B914-10D3-400A-AAFD-77140C8EF5F6}"/>
    <cellStyle name="Normal 3 3 2 2 2 3 4" xfId="2404" xr:uid="{B959B3A4-0E50-46BC-820E-F2B82706E62B}"/>
    <cellStyle name="Normal 3 3 2 2 2 3 4 2" xfId="4839" xr:uid="{305CF1F4-FC55-44E3-B57E-E250EC135791}"/>
    <cellStyle name="Normal 3 3 2 2 2 3 5" xfId="3969" xr:uid="{FA1B0713-2FE0-46F7-97F6-E7C8F6A38E74}"/>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2 2 2" xfId="5291" xr:uid="{82455E6E-E87E-467A-AFE5-1EA81F5654BD}"/>
    <cellStyle name="Normal 3 3 2 2 2 4 2 3" xfId="4535" xr:uid="{554B9AD2-11FF-4681-AE1B-C2FC957597C5}"/>
    <cellStyle name="Normal 3 3 2 2 2 4 3" xfId="2406" xr:uid="{9E5AC42B-93D4-476F-8ACC-76D522E6E32A}"/>
    <cellStyle name="Normal 3 3 2 2 2 4 3 2" xfId="4841" xr:uid="{B74B76D0-C944-4DFE-9815-958AFA602C7A}"/>
    <cellStyle name="Normal 3 3 2 2 2 4 4" xfId="3971" xr:uid="{668BF051-2D4C-4261-AFF0-32F5F80913E4}"/>
    <cellStyle name="Normal 3 3 2 2 2 5" xfId="1848" xr:uid="{74098714-4C35-41FA-93B3-AE0A5BB7F900}"/>
    <cellStyle name="Normal 3 3 2 2 2 5 2" xfId="2686" xr:uid="{1A0F5E51-98B6-4D35-AC28-8F667A72F635}"/>
    <cellStyle name="Normal 3 3 2 2 2 5 2 2" xfId="5121" xr:uid="{ADF72E62-6813-45FB-92CE-EF827B9E906D}"/>
    <cellStyle name="Normal 3 3 2 2 2 5 3" xfId="4365" xr:uid="{C9DECD88-B81C-446E-8232-50A83F5CDAF5}"/>
    <cellStyle name="Normal 3 3 2 2 2 6" xfId="2401" xr:uid="{9D6052A4-D843-4ECC-9177-706255903C7F}"/>
    <cellStyle name="Normal 3 3 2 2 2 6 2" xfId="4836" xr:uid="{6FB5D8F9-67FD-4C06-B17C-D6070F46D88F}"/>
    <cellStyle name="Normal 3 3 2 2 2 7" xfId="3966" xr:uid="{A53C0133-AC39-44C5-B2B3-ED2D28E2C105}"/>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2 2 2" xfId="5294" xr:uid="{3F8B6A50-7956-4C01-9E22-1CB4857E688A}"/>
    <cellStyle name="Normal 3 3 2 2 3 2 2 3" xfId="4538" xr:uid="{C45F519F-553E-4229-8AAA-57D5BEB9372A}"/>
    <cellStyle name="Normal 3 3 2 2 3 2 3" xfId="2408" xr:uid="{6C1DC172-272F-49CE-ADFA-7E95F2EC58A4}"/>
    <cellStyle name="Normal 3 3 2 2 3 2 3 2" xfId="4843" xr:uid="{C2621FB6-C352-4DAD-893B-ABD309A979F6}"/>
    <cellStyle name="Normal 3 3 2 2 3 2 4" xfId="3973" xr:uid="{9506EA24-00CD-409B-8CD5-8AADA57E74A0}"/>
    <cellStyle name="Normal 3 3 2 2 3 3" xfId="1851" xr:uid="{B3750FF9-4B38-471A-B9D4-CA5F2D1DD922}"/>
    <cellStyle name="Normal 3 3 2 2 3 3 2" xfId="2689" xr:uid="{B82228E5-520A-4196-85D9-FC4EECF36A2C}"/>
    <cellStyle name="Normal 3 3 2 2 3 3 2 2" xfId="5124" xr:uid="{02CB4759-1A1F-447E-817E-A363013528A1}"/>
    <cellStyle name="Normal 3 3 2 2 3 3 3" xfId="4368" xr:uid="{6C80C46B-6C32-41A3-8964-001618F3A09F}"/>
    <cellStyle name="Normal 3 3 2 2 3 4" xfId="2407" xr:uid="{2AEE3396-13CD-4EE5-9772-8235453B8FBA}"/>
    <cellStyle name="Normal 3 3 2 2 3 4 2" xfId="4842" xr:uid="{42FA7CD7-297A-402A-B9D9-3E3821B25607}"/>
    <cellStyle name="Normal 3 3 2 2 3 5" xfId="3972" xr:uid="{26E5F368-C3AF-4A88-9ABA-F4E3F58BB82B}"/>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2 2 2" xfId="5295" xr:uid="{0A5726D0-E966-475E-B34D-715D01ED8405}"/>
    <cellStyle name="Normal 3 3 2 2 4 2 2 3" xfId="4539" xr:uid="{45C6BA72-DD46-4E64-A49F-DB90E8AE3492}"/>
    <cellStyle name="Normal 3 3 2 2 4 2 3" xfId="2410" xr:uid="{34A32F75-92FE-44F2-8106-8BDD3FF5E011}"/>
    <cellStyle name="Normal 3 3 2 2 4 2 3 2" xfId="4845" xr:uid="{B4823CA4-8841-4D81-80B9-4809FDDB6A11}"/>
    <cellStyle name="Normal 3 3 2 2 4 2 4" xfId="3975" xr:uid="{8FE0A741-16E9-4806-BCC4-08F6C4F00B60}"/>
    <cellStyle name="Normal 3 3 2 2 4 3" xfId="1852" xr:uid="{030906E1-6E0C-4E19-ACFF-939F40039A85}"/>
    <cellStyle name="Normal 3 3 2 2 4 3 2" xfId="2690" xr:uid="{6D7C394A-5C3F-49D1-8F47-53DD08AABC81}"/>
    <cellStyle name="Normal 3 3 2 2 4 3 2 2" xfId="5125" xr:uid="{5762E750-55A9-428B-BD8E-8C9F76AAB245}"/>
    <cellStyle name="Normal 3 3 2 2 4 3 3" xfId="4369" xr:uid="{78446DD8-0480-45AF-B5AF-6F2E573A5F12}"/>
    <cellStyle name="Normal 3 3 2 2 4 4" xfId="2409" xr:uid="{84FE2ADC-35B4-43CD-8801-3C1D49226BAD}"/>
    <cellStyle name="Normal 3 3 2 2 4 4 2" xfId="4844" xr:uid="{84CB5046-A96F-42A3-B303-752E9D276EDE}"/>
    <cellStyle name="Normal 3 3 2 2 4 5" xfId="3974" xr:uid="{04BCA264-9A83-477D-A22A-82238AB8A0AC}"/>
    <cellStyle name="Normal 3 3 2 2 5" xfId="1376" xr:uid="{694FFB08-A071-4D2C-B896-E6BFB2D9FDF2}"/>
    <cellStyle name="Normal 3 3 2 2 5 2" xfId="2017" xr:uid="{4B3319FF-960C-4C40-84D1-97CD0224EF26}"/>
    <cellStyle name="Normal 3 3 2 2 5 2 2" xfId="2855" xr:uid="{EDDECF2E-9D1B-442F-BA2A-E7CB97B041A6}"/>
    <cellStyle name="Normal 3 3 2 2 5 2 2 2" xfId="5290" xr:uid="{D88130DF-A6A0-4DE0-8881-735460D0E180}"/>
    <cellStyle name="Normal 3 3 2 2 5 2 3" xfId="4534" xr:uid="{C57FE845-C66D-4CF8-B183-DE31D31642AD}"/>
    <cellStyle name="Normal 3 3 2 2 5 3" xfId="2411" xr:uid="{F650DBB1-F924-47EC-8D81-C8A3D306BEA9}"/>
    <cellStyle name="Normal 3 3 2 2 5 3 2" xfId="4846" xr:uid="{6B4DAFEC-0F62-4CC5-8E16-815DF639F8EA}"/>
    <cellStyle name="Normal 3 3 2 2 5 4" xfId="3976" xr:uid="{941AB9E0-EF01-4B38-9CA9-91BEED1DD542}"/>
    <cellStyle name="Normal 3 3 2 2 6" xfId="1847" xr:uid="{22F26185-5F0B-4C2E-8B2A-8B3E209E212B}"/>
    <cellStyle name="Normal 3 3 2 2 6 2" xfId="2685" xr:uid="{6778674C-94B4-4062-9B1E-D8114BECF793}"/>
    <cellStyle name="Normal 3 3 2 2 6 2 2" xfId="5120" xr:uid="{5E63F638-1FB6-4CA7-858F-03B7F029F2D5}"/>
    <cellStyle name="Normal 3 3 2 2 6 3" xfId="4364" xr:uid="{3FB38D1E-DF73-4E22-AD76-311250C77A5C}"/>
    <cellStyle name="Normal 3 3 2 2 7" xfId="2400" xr:uid="{B8874235-9249-4B55-B278-615063BFD6A3}"/>
    <cellStyle name="Normal 3 3 2 2 7 2" xfId="4835" xr:uid="{7C26CE80-7CF3-4937-86F2-522C6C79800A}"/>
    <cellStyle name="Normal 3 3 2 2 8" xfId="3965" xr:uid="{4C837BF1-CB45-41C8-8883-8FEB38888E04}"/>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2 2 2" xfId="5297" xr:uid="{BD07D6F2-3268-4BDA-AECB-A2E82C7FE5C6}"/>
    <cellStyle name="Normal 3 3 2 3 2 2 2 3" xfId="4541" xr:uid="{95522FD4-E085-4567-95D7-1C67AD99E6CD}"/>
    <cellStyle name="Normal 3 3 2 3 2 2 3" xfId="2414" xr:uid="{40D807B2-00B1-4DD6-9298-7633C57B9C3F}"/>
    <cellStyle name="Normal 3 3 2 3 2 2 3 2" xfId="4849" xr:uid="{ED3A7770-F8D8-4E8B-AB1C-0109A02A247A}"/>
    <cellStyle name="Normal 3 3 2 3 2 2 4" xfId="3979" xr:uid="{91E182AE-3ADA-4F89-8723-41125B523EF2}"/>
    <cellStyle name="Normal 3 3 2 3 2 3" xfId="1854" xr:uid="{CB6F9962-FE52-46B5-AC4B-0BF8780077E3}"/>
    <cellStyle name="Normal 3 3 2 3 2 3 2" xfId="2692" xr:uid="{30A03748-AF51-4C46-9815-FDB5E1BF8369}"/>
    <cellStyle name="Normal 3 3 2 3 2 3 2 2" xfId="5127" xr:uid="{FE573459-FFA6-456F-977E-1BE10A34A450}"/>
    <cellStyle name="Normal 3 3 2 3 2 3 3" xfId="4371" xr:uid="{90F8BBDC-4913-42AD-8954-D0D42B3BD625}"/>
    <cellStyle name="Normal 3 3 2 3 2 4" xfId="2413" xr:uid="{7A6D1666-9648-42A7-AC88-77972A58FBF3}"/>
    <cellStyle name="Normal 3 3 2 3 2 4 2" xfId="4848" xr:uid="{AC157069-8C19-4E77-A127-839C6252BD02}"/>
    <cellStyle name="Normal 3 3 2 3 2 5" xfId="3978" xr:uid="{6C583C14-8B6D-4159-BD95-E143BEA2F79A}"/>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2 2 2" xfId="5298" xr:uid="{0BF82CD9-3991-4A34-828D-DC8F230ACB00}"/>
    <cellStyle name="Normal 3 3 2 3 3 2 2 3" xfId="4542" xr:uid="{EE5FFFED-74C5-4D69-842C-5E9FACE0DD85}"/>
    <cellStyle name="Normal 3 3 2 3 3 2 3" xfId="2416" xr:uid="{FCC0642B-1893-450F-B0D0-12F23CD024E9}"/>
    <cellStyle name="Normal 3 3 2 3 3 2 3 2" xfId="4851" xr:uid="{746E3F40-D99D-4BE1-8C2F-CA1CCC1E1FBF}"/>
    <cellStyle name="Normal 3 3 2 3 3 2 4" xfId="3981" xr:uid="{C222E611-3BD3-47CD-9503-1830EAF9FBE8}"/>
    <cellStyle name="Normal 3 3 2 3 3 3" xfId="1855" xr:uid="{FC30AD62-46E4-4415-9080-14FA74A8FD3B}"/>
    <cellStyle name="Normal 3 3 2 3 3 3 2" xfId="2693" xr:uid="{AD6C90D9-AC05-4EF0-AFF1-0640321E6AA6}"/>
    <cellStyle name="Normal 3 3 2 3 3 3 2 2" xfId="5128" xr:uid="{26CA5FB4-0B2F-4F99-A331-6408EC92D6CE}"/>
    <cellStyle name="Normal 3 3 2 3 3 3 3" xfId="4372" xr:uid="{A40F1059-4810-455E-8254-9575C5D9145C}"/>
    <cellStyle name="Normal 3 3 2 3 3 4" xfId="2415" xr:uid="{C64228C9-551A-4644-80FF-CFB09AA9E5AD}"/>
    <cellStyle name="Normal 3 3 2 3 3 4 2" xfId="4850" xr:uid="{639C9D9F-90CA-4320-AA94-2D36B6B2C69A}"/>
    <cellStyle name="Normal 3 3 2 3 3 5" xfId="3980" xr:uid="{4DDCCD19-BDF2-4397-A60C-6A316C892286}"/>
    <cellStyle name="Normal 3 3 2 3 4" xfId="1382" xr:uid="{9A8FAC42-F61A-4F8A-B54C-5F576BC2168C}"/>
    <cellStyle name="Normal 3 3 2 3 4 2" xfId="2023" xr:uid="{9FBB4BC7-0355-43DC-9F93-0171F73DB762}"/>
    <cellStyle name="Normal 3 3 2 3 4 2 2" xfId="2861" xr:uid="{9BA7ABA5-3356-4BB9-940C-39D82CAC4D5E}"/>
    <cellStyle name="Normal 3 3 2 3 4 2 2 2" xfId="5296" xr:uid="{BB7D5683-C5E9-436F-8674-CF94D727990F}"/>
    <cellStyle name="Normal 3 3 2 3 4 2 3" xfId="4540" xr:uid="{06C2B971-72A2-4AC5-9677-6E8C4DBDF261}"/>
    <cellStyle name="Normal 3 3 2 3 4 3" xfId="2417" xr:uid="{1B08934E-3BC1-4031-B3F4-1475FC4A1A33}"/>
    <cellStyle name="Normal 3 3 2 3 4 3 2" xfId="4852" xr:uid="{67DD652C-0998-4BE8-8514-9DB40450567D}"/>
    <cellStyle name="Normal 3 3 2 3 4 4" xfId="3982" xr:uid="{152B70FB-BF31-427F-B33B-0BF7371CA649}"/>
    <cellStyle name="Normal 3 3 2 3 5" xfId="1853" xr:uid="{9C65F635-5E9D-499D-9153-18F3A47E9B6E}"/>
    <cellStyle name="Normal 3 3 2 3 5 2" xfId="2691" xr:uid="{7727E666-B809-476D-B1C8-FABF24DFADB1}"/>
    <cellStyle name="Normal 3 3 2 3 5 2 2" xfId="5126" xr:uid="{90DDC1CC-7FBE-403B-9959-DB451923D97D}"/>
    <cellStyle name="Normal 3 3 2 3 5 3" xfId="4370" xr:uid="{BF331C17-CD4B-4A6C-8021-05C21D9FE6D4}"/>
    <cellStyle name="Normal 3 3 2 3 6" xfId="2412" xr:uid="{B9C594A7-0C53-4361-9AD9-65C2E7B033BB}"/>
    <cellStyle name="Normal 3 3 2 3 6 2" xfId="4847" xr:uid="{187750B3-692C-42E1-A49A-B4BDF222E179}"/>
    <cellStyle name="Normal 3 3 2 3 7" xfId="3977" xr:uid="{444555AC-528B-4049-895A-0E439ED8B1A9}"/>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2 2 2" xfId="5299" xr:uid="{A33683F7-DA3F-414B-B231-97014C1DE06B}"/>
    <cellStyle name="Normal 3 3 2 4 2 2 3" xfId="4543" xr:uid="{CB0C3EAF-E883-4CEA-99FE-B34B65A7201F}"/>
    <cellStyle name="Normal 3 3 2 4 2 3" xfId="2419" xr:uid="{E1A1F1D1-F1F2-4C72-932B-4C6E7AE35F3F}"/>
    <cellStyle name="Normal 3 3 2 4 2 3 2" xfId="4854" xr:uid="{D2C03B6D-3EFD-4350-9497-C2C8329DF70A}"/>
    <cellStyle name="Normal 3 3 2 4 2 4" xfId="3984" xr:uid="{527D145A-A673-458C-87B1-0EE393FE69F8}"/>
    <cellStyle name="Normal 3 3 2 4 3" xfId="1856" xr:uid="{D1FEC553-A1B0-4DC3-A991-D91157B3F9DA}"/>
    <cellStyle name="Normal 3 3 2 4 3 2" xfId="2694" xr:uid="{7E416316-F6F2-495C-B81D-C65859CC9E40}"/>
    <cellStyle name="Normal 3 3 2 4 3 2 2" xfId="5129" xr:uid="{3D9EFB13-80E3-46A9-9C38-AF06AE376D21}"/>
    <cellStyle name="Normal 3 3 2 4 3 3" xfId="4373" xr:uid="{702ACB96-24C4-4B31-A47B-36F12C43A89A}"/>
    <cellStyle name="Normal 3 3 2 4 4" xfId="2418" xr:uid="{D5ECD61F-6467-4E80-95C9-5D4CB13401A4}"/>
    <cellStyle name="Normal 3 3 2 4 4 2" xfId="4853" xr:uid="{773EDEB5-FB7F-46D9-A806-090FB40BE244}"/>
    <cellStyle name="Normal 3 3 2 4 5" xfId="3983" xr:uid="{3DD5E243-70CF-46B5-9A75-87BBE6AF5F86}"/>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2 2 2" xfId="5300" xr:uid="{461B4B0F-7818-4C73-865A-D4F6AE0AA993}"/>
    <cellStyle name="Normal 3 3 2 5 2 2 3" xfId="4544" xr:uid="{1A2E0D5C-76CD-4E3D-BC1F-0B5D4E5D6AB4}"/>
    <cellStyle name="Normal 3 3 2 5 2 3" xfId="2421" xr:uid="{A238F1B8-F5A1-4B61-BE01-130FAB7EB180}"/>
    <cellStyle name="Normal 3 3 2 5 2 3 2" xfId="4856" xr:uid="{A5F1524A-77A2-40E2-93F4-6397AE469D64}"/>
    <cellStyle name="Normal 3 3 2 5 2 4" xfId="3986" xr:uid="{AAF868EB-BFC6-406E-BC83-CD0BB8017834}"/>
    <cellStyle name="Normal 3 3 2 5 3" xfId="1857" xr:uid="{E922040E-B319-4E1D-AB1A-3385045323B1}"/>
    <cellStyle name="Normal 3 3 2 5 3 2" xfId="2695" xr:uid="{4A7AA488-8438-4AB7-ACD2-7FFF3E3E804D}"/>
    <cellStyle name="Normal 3 3 2 5 3 2 2" xfId="5130" xr:uid="{D35B69BC-E0AA-464F-8220-C89AF0071AAD}"/>
    <cellStyle name="Normal 3 3 2 5 3 3" xfId="4374" xr:uid="{0F590E2F-0B8F-4BBD-BE32-3D157832F4C4}"/>
    <cellStyle name="Normal 3 3 2 5 4" xfId="2420" xr:uid="{BF628853-D550-4E12-A984-3F6B70FB361B}"/>
    <cellStyle name="Normal 3 3 2 5 4 2" xfId="4855" xr:uid="{9E117595-B52B-4FE7-8188-766E0F464C09}"/>
    <cellStyle name="Normal 3 3 2 5 5" xfId="3985" xr:uid="{E806296A-FA13-4174-A934-FAC45E240AD8}"/>
    <cellStyle name="Normal 3 3 2 6" xfId="1387" xr:uid="{5BB219D4-D48F-4498-B91C-A7F16D48247B}"/>
    <cellStyle name="Normal 3 3 2 6 2" xfId="2016" xr:uid="{9905FAB7-2B27-4EA8-AD42-55ED7182DC33}"/>
    <cellStyle name="Normal 3 3 2 6 2 2" xfId="2854" xr:uid="{7CEA0144-721C-45AB-9D0C-85E0D6F55EAA}"/>
    <cellStyle name="Normal 3 3 2 6 2 2 2" xfId="5289" xr:uid="{2C5FE015-E818-40B1-AA79-34CF34F52633}"/>
    <cellStyle name="Normal 3 3 2 6 2 3" xfId="4533" xr:uid="{E5CF073B-BA18-45A4-97A4-AB272141F422}"/>
    <cellStyle name="Normal 3 3 2 6 3" xfId="2422" xr:uid="{DF796354-4C57-412C-B9F4-627198409566}"/>
    <cellStyle name="Normal 3 3 2 6 3 2" xfId="4857" xr:uid="{A542B101-D715-436B-BE9F-DEDDC4581CB4}"/>
    <cellStyle name="Normal 3 3 2 6 4" xfId="3987" xr:uid="{DBFF707F-2829-4743-B7EC-716B2DAE501A}"/>
    <cellStyle name="Normal 3 3 2 7" xfId="1846" xr:uid="{6BDD0BF2-E45F-4E0A-BD10-A1E9C3B40713}"/>
    <cellStyle name="Normal 3 3 2 7 2" xfId="2684" xr:uid="{7B7DBCF5-5107-4509-8D53-EE9EA18B6B10}"/>
    <cellStyle name="Normal 3 3 2 7 2 2" xfId="5119" xr:uid="{FF0FB19D-FDF5-4BEC-92C8-B4447A380F25}"/>
    <cellStyle name="Normal 3 3 2 7 3" xfId="4363" xr:uid="{188DD831-92FC-4DAB-BB77-46DD82D11423}"/>
    <cellStyle name="Normal 3 3 2 8" xfId="2399" xr:uid="{E5E68E8B-5AB2-480E-8AA3-9EBFF56075C8}"/>
    <cellStyle name="Normal 3 3 2 8 2" xfId="4834" xr:uid="{03A5807C-CA3B-4371-A8D0-A71BE955F933}"/>
    <cellStyle name="Normal 3 3 2 9" xfId="3964" xr:uid="{EE98FE74-D3E2-4BEE-BA29-98104272FA1D}"/>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2 2 2" xfId="5303" xr:uid="{C6A2EE3B-9F8C-491A-99E0-EDC66D68CF64}"/>
    <cellStyle name="Normal 3 3 3 2 2 2 2 3" xfId="4547" xr:uid="{389BC446-A80B-4FDA-B624-DFE5237BF46C}"/>
    <cellStyle name="Normal 3 3 3 2 2 2 3" xfId="2426" xr:uid="{395D0B2B-CC10-44EF-87F1-B6016282C20A}"/>
    <cellStyle name="Normal 3 3 3 2 2 2 3 2" xfId="4861" xr:uid="{9440481D-FF4F-4FEC-B6BD-931ACC6130E9}"/>
    <cellStyle name="Normal 3 3 3 2 2 2 4" xfId="3991" xr:uid="{31E09830-7B40-4E49-8601-ACC6AEF03538}"/>
    <cellStyle name="Normal 3 3 3 2 2 3" xfId="1860" xr:uid="{66A1C5AF-BE81-4661-ACEF-FA20ED04C7B2}"/>
    <cellStyle name="Normal 3 3 3 2 2 3 2" xfId="2698" xr:uid="{F798B1E1-E16A-41C9-9006-D8FA9D43D97E}"/>
    <cellStyle name="Normal 3 3 3 2 2 3 2 2" xfId="5133" xr:uid="{6A3E46B3-B3F8-4026-BBC1-A9AFD67D6351}"/>
    <cellStyle name="Normal 3 3 3 2 2 3 3" xfId="4377" xr:uid="{8F31EAF1-6906-45F9-B7B9-DA948DAE433B}"/>
    <cellStyle name="Normal 3 3 3 2 2 4" xfId="2425" xr:uid="{454470E2-1D82-43E9-876C-A18D007F2B3B}"/>
    <cellStyle name="Normal 3 3 3 2 2 4 2" xfId="4860" xr:uid="{A697C5EA-E1AA-4E1C-8195-6331829C6DAA}"/>
    <cellStyle name="Normal 3 3 3 2 2 5" xfId="3990" xr:uid="{9411DCE0-B1C2-41C6-BBF8-3CBF7B05EE26}"/>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2 2 2" xfId="5304" xr:uid="{AE6AE019-4EB6-49EF-B952-BC3CBB9D3B4A}"/>
    <cellStyle name="Normal 3 3 3 2 3 2 2 3" xfId="4548" xr:uid="{8E2F33A5-68F4-4052-8353-0C32862DB887}"/>
    <cellStyle name="Normal 3 3 3 2 3 2 3" xfId="2428" xr:uid="{AD9E1390-C0F9-439D-942B-6C0CC94BAD72}"/>
    <cellStyle name="Normal 3 3 3 2 3 2 3 2" xfId="4863" xr:uid="{758CB285-FC5D-4C1B-B125-5B18D329966F}"/>
    <cellStyle name="Normal 3 3 3 2 3 2 4" xfId="3993" xr:uid="{A9830622-29F3-4DB5-A7A8-7985C50B9EED}"/>
    <cellStyle name="Normal 3 3 3 2 3 3" xfId="1861" xr:uid="{20541832-2B18-4F4B-A48D-B402CC58A4C1}"/>
    <cellStyle name="Normal 3 3 3 2 3 3 2" xfId="2699" xr:uid="{A8D329B8-30CE-4E9A-B2DA-179CAF57AFE0}"/>
    <cellStyle name="Normal 3 3 3 2 3 3 2 2" xfId="5134" xr:uid="{5AA61746-7643-44FD-B299-32233CFBB64D}"/>
    <cellStyle name="Normal 3 3 3 2 3 3 3" xfId="4378" xr:uid="{F334818A-E174-43A8-B1F0-5187E80F2A16}"/>
    <cellStyle name="Normal 3 3 3 2 3 4" xfId="2427" xr:uid="{ECA72615-EB3A-47CF-A092-0D2D656471F0}"/>
    <cellStyle name="Normal 3 3 3 2 3 4 2" xfId="4862" xr:uid="{F25C970F-8AF2-4BF9-A2BB-0A10116F2BF3}"/>
    <cellStyle name="Normal 3 3 3 2 3 5" xfId="3992" xr:uid="{E26E5103-39B2-4121-AB66-B669225264FD}"/>
    <cellStyle name="Normal 3 3 3 2 4" xfId="1394" xr:uid="{C2B78745-F30F-4956-B81F-AC5714F8853A}"/>
    <cellStyle name="Normal 3 3 3 2 4 2" xfId="2029" xr:uid="{6B1AA520-7702-4AE5-BD72-5CC570389C94}"/>
    <cellStyle name="Normal 3 3 3 2 4 2 2" xfId="2867" xr:uid="{943266A9-52E9-431F-B60B-257E8A8E28E7}"/>
    <cellStyle name="Normal 3 3 3 2 4 2 2 2" xfId="5302" xr:uid="{B5ECC629-A1B5-4359-93DE-AB7D11E95826}"/>
    <cellStyle name="Normal 3 3 3 2 4 2 3" xfId="4546" xr:uid="{F149AA8B-887F-45DB-84CC-06FD7CCBD622}"/>
    <cellStyle name="Normal 3 3 3 2 4 3" xfId="2429" xr:uid="{C935C4C2-0808-4228-B207-F70C348BF360}"/>
    <cellStyle name="Normal 3 3 3 2 4 3 2" xfId="4864" xr:uid="{812521F2-50B5-4EC0-AF06-3DB30EA31028}"/>
    <cellStyle name="Normal 3 3 3 2 4 4" xfId="3994" xr:uid="{F5C8DF2C-E506-4110-BA77-DC00197F2F2E}"/>
    <cellStyle name="Normal 3 3 3 2 5" xfId="1859" xr:uid="{FAA60FC3-FCDB-44F1-A024-494A1A71947A}"/>
    <cellStyle name="Normal 3 3 3 2 5 2" xfId="2697" xr:uid="{B2E6B3E8-4FFB-4B58-8340-BE41D06C4338}"/>
    <cellStyle name="Normal 3 3 3 2 5 2 2" xfId="5132" xr:uid="{F490E469-4BCF-4FCF-A470-13AD3FB14597}"/>
    <cellStyle name="Normal 3 3 3 2 5 3" xfId="4376" xr:uid="{9455BE75-D352-452B-936A-1C25D32E5FD2}"/>
    <cellStyle name="Normal 3 3 3 2 6" xfId="2424" xr:uid="{BD724376-33AB-46C7-8556-2ACBACC54D87}"/>
    <cellStyle name="Normal 3 3 3 2 6 2" xfId="4859" xr:uid="{57D990F2-9B13-44B1-971F-84A3B1FB7509}"/>
    <cellStyle name="Normal 3 3 3 2 7" xfId="3989" xr:uid="{BEB287E9-63E6-40B5-BD04-BB3775E59C72}"/>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2 2 2" xfId="5305" xr:uid="{991D45FB-314F-4AA5-9CB2-D4B871C2099E}"/>
    <cellStyle name="Normal 3 3 3 3 2 2 3" xfId="4549" xr:uid="{6AED4C29-00EF-4DAE-B391-D84A8633F9D6}"/>
    <cellStyle name="Normal 3 3 3 3 2 3" xfId="2431" xr:uid="{6736E1B7-5F31-40AE-B49A-6CE381573624}"/>
    <cellStyle name="Normal 3 3 3 3 2 3 2" xfId="4866" xr:uid="{356B823C-B1D9-4791-A219-5EA9D60B7650}"/>
    <cellStyle name="Normal 3 3 3 3 2 4" xfId="3996" xr:uid="{0FA178D6-BA45-4F8D-8010-A4D65657EC70}"/>
    <cellStyle name="Normal 3 3 3 3 3" xfId="1862" xr:uid="{BD96C497-2099-4EED-AB7E-A7F04C07BC08}"/>
    <cellStyle name="Normal 3 3 3 3 3 2" xfId="2700" xr:uid="{451C3D7B-96D5-4131-8F7E-A85808D0292A}"/>
    <cellStyle name="Normal 3 3 3 3 3 2 2" xfId="5135" xr:uid="{10DB7200-3D1A-49DF-AB27-566013AA5770}"/>
    <cellStyle name="Normal 3 3 3 3 3 3" xfId="4379" xr:uid="{E29B75B2-393B-452E-A9A2-16962696D0F7}"/>
    <cellStyle name="Normal 3 3 3 3 4" xfId="2430" xr:uid="{A5BCB04E-D70E-4BB0-B10A-BB65972E7B29}"/>
    <cellStyle name="Normal 3 3 3 3 4 2" xfId="4865" xr:uid="{819E1D14-1074-44DC-A92F-B776C73C8F2C}"/>
    <cellStyle name="Normal 3 3 3 3 5" xfId="3995" xr:uid="{52DB22B3-B095-49EC-B9EB-03C5FA58C378}"/>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2 2 2" xfId="5306" xr:uid="{1E9F2FA6-6BD3-4E18-948E-1761DCAA92CB}"/>
    <cellStyle name="Normal 3 3 3 4 2 2 3" xfId="4550" xr:uid="{D28CBA88-1C0B-425D-94B3-9195BD68AB92}"/>
    <cellStyle name="Normal 3 3 3 4 2 3" xfId="2433" xr:uid="{1BE9D149-0876-4D3B-9302-153A8DE0EE07}"/>
    <cellStyle name="Normal 3 3 3 4 2 3 2" xfId="4868" xr:uid="{2E7BFFD2-BFD8-40A9-9255-3C0DB530CBE9}"/>
    <cellStyle name="Normal 3 3 3 4 2 4" xfId="3998" xr:uid="{3D3EBB32-7C9C-4C1D-8C7E-14725521C0FE}"/>
    <cellStyle name="Normal 3 3 3 4 3" xfId="1863" xr:uid="{C570D1D8-2225-457A-96CB-A21D9BEE642B}"/>
    <cellStyle name="Normal 3 3 3 4 3 2" xfId="2701" xr:uid="{8014204A-1F6B-4B38-AC9F-BE6AD705BFF2}"/>
    <cellStyle name="Normal 3 3 3 4 3 2 2" xfId="5136" xr:uid="{38D29A9B-8BFC-4DA7-ADC8-8F4261F5CFF2}"/>
    <cellStyle name="Normal 3 3 3 4 3 3" xfId="4380" xr:uid="{AA2C09F5-9844-48CE-96F5-2822CEE9D204}"/>
    <cellStyle name="Normal 3 3 3 4 4" xfId="2432" xr:uid="{56DA3CAC-4A9A-4776-9A77-0D1CA609C84F}"/>
    <cellStyle name="Normal 3 3 3 4 4 2" xfId="4867" xr:uid="{AA037899-3F5C-4712-AB18-94844E8F98FC}"/>
    <cellStyle name="Normal 3 3 3 4 5" xfId="3997" xr:uid="{0886BDAB-C692-4970-BA48-A05E027F1F96}"/>
    <cellStyle name="Normal 3 3 3 5" xfId="1399" xr:uid="{2FD49DC2-8403-458F-9495-3E73A964CD30}"/>
    <cellStyle name="Normal 3 3 3 5 2" xfId="2028" xr:uid="{9D20D726-B842-45A3-B257-0F3C38CD7791}"/>
    <cellStyle name="Normal 3 3 3 5 2 2" xfId="2866" xr:uid="{6BE51D6A-5597-4B91-8E1A-C55BA69BC2B9}"/>
    <cellStyle name="Normal 3 3 3 5 2 2 2" xfId="5301" xr:uid="{BE8354C1-27F7-4B10-8577-30F4AA6EF530}"/>
    <cellStyle name="Normal 3 3 3 5 2 3" xfId="4545" xr:uid="{0E3F18AA-BD8A-49EA-8BAD-748C40E2B485}"/>
    <cellStyle name="Normal 3 3 3 5 3" xfId="2434" xr:uid="{CD7AC8E3-BFE9-4917-8755-91CA8F57B55C}"/>
    <cellStyle name="Normal 3 3 3 5 3 2" xfId="4869" xr:uid="{CD6941E3-08C3-4FAC-AC36-4F103519694A}"/>
    <cellStyle name="Normal 3 3 3 5 4" xfId="3999" xr:uid="{05415FA5-A476-470D-800A-49C8E2BBB891}"/>
    <cellStyle name="Normal 3 3 3 6" xfId="1858" xr:uid="{1F3B2A2B-BEE2-41A8-9892-7ADF7D2AC059}"/>
    <cellStyle name="Normal 3 3 3 6 2" xfId="2696" xr:uid="{EF5F2BC7-5C81-494B-A88A-8DFFC1203ACE}"/>
    <cellStyle name="Normal 3 3 3 6 2 2" xfId="5131" xr:uid="{2652E7DD-6D9C-43B2-8435-BA2F4A7D0934}"/>
    <cellStyle name="Normal 3 3 3 6 3" xfId="4375" xr:uid="{A03ADE6C-ECEB-4C9D-8597-F77A02A1796C}"/>
    <cellStyle name="Normal 3 3 3 7" xfId="2423" xr:uid="{56A04BB6-FB35-4914-91C2-D54F894C9F87}"/>
    <cellStyle name="Normal 3 3 3 7 2" xfId="4858" xr:uid="{BE0109C5-8080-498A-A191-4EDB1F10C686}"/>
    <cellStyle name="Normal 3 3 3 8" xfId="3988" xr:uid="{6025AE90-5BD1-4BF2-B1EA-3C9E9783F915}"/>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2 2 2" xfId="5308" xr:uid="{CDA9CACB-A5A7-4BD9-BB5E-C3A3E3752C40}"/>
    <cellStyle name="Normal 3 3 4 2 2 2 3" xfId="4552" xr:uid="{1CE1B4F0-B1E5-4C6D-8368-291DE7ADF0ED}"/>
    <cellStyle name="Normal 3 3 4 2 2 3" xfId="2437" xr:uid="{0742E5C0-69C4-424A-8120-54366EAF181D}"/>
    <cellStyle name="Normal 3 3 4 2 2 3 2" xfId="4872" xr:uid="{2E8D8213-75AC-4C63-B6FF-87DD058CFDBB}"/>
    <cellStyle name="Normal 3 3 4 2 2 4" xfId="4002" xr:uid="{96695B27-E661-4EAE-A0BC-E7057E8662FD}"/>
    <cellStyle name="Normal 3 3 4 2 3" xfId="1865" xr:uid="{0E495B2C-90D0-4009-94EF-EC301167B00F}"/>
    <cellStyle name="Normal 3 3 4 2 3 2" xfId="2703" xr:uid="{7D48FB6B-431E-42FD-BAED-E41DA294F96D}"/>
    <cellStyle name="Normal 3 3 4 2 3 2 2" xfId="5138" xr:uid="{7EA30154-FAE9-43D5-8BBB-DCE6516F8D16}"/>
    <cellStyle name="Normal 3 3 4 2 3 3" xfId="4382" xr:uid="{106F64E7-0999-4E64-B966-133B967B2000}"/>
    <cellStyle name="Normal 3 3 4 2 4" xfId="2436" xr:uid="{B3C652F5-1485-4E28-B60E-A7C42A3E1AA0}"/>
    <cellStyle name="Normal 3 3 4 2 4 2" xfId="4871" xr:uid="{BBA05002-8547-45E6-92A3-7DA3C3E1BD91}"/>
    <cellStyle name="Normal 3 3 4 2 5" xfId="4001" xr:uid="{E6DBAC2A-CBD9-4C38-B5BA-B53E15E4804A}"/>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2 2 2" xfId="5309" xr:uid="{64A8DD5D-61CD-4134-B53F-9D66EC9E8265}"/>
    <cellStyle name="Normal 3 3 4 3 2 2 3" xfId="4553" xr:uid="{1F80C74C-EEF9-4B28-991E-4A011753EF6E}"/>
    <cellStyle name="Normal 3 3 4 3 2 3" xfId="2439" xr:uid="{C1F648FC-3491-4D78-9A89-0ECCADFA62E1}"/>
    <cellStyle name="Normal 3 3 4 3 2 3 2" xfId="4874" xr:uid="{2D46E281-0A7B-4277-B615-D769A0AABBBB}"/>
    <cellStyle name="Normal 3 3 4 3 2 4" xfId="4004" xr:uid="{FA78B8FD-0E93-4D2F-AD29-C9AFB555B93D}"/>
    <cellStyle name="Normal 3 3 4 3 3" xfId="1866" xr:uid="{9F15135D-A294-49DC-8E42-0AE9EA58360F}"/>
    <cellStyle name="Normal 3 3 4 3 3 2" xfId="2704" xr:uid="{5027414D-5065-4A3F-8B0C-84A7DA1A1E80}"/>
    <cellStyle name="Normal 3 3 4 3 3 2 2" xfId="5139" xr:uid="{4B3A4620-B19C-4500-91BC-D4D78AC89A5F}"/>
    <cellStyle name="Normal 3 3 4 3 3 3" xfId="4383" xr:uid="{42EA3D69-2AF8-4984-8445-FE7682362371}"/>
    <cellStyle name="Normal 3 3 4 3 4" xfId="2438" xr:uid="{E9C082EB-1113-4281-A477-9A8EB0A9C642}"/>
    <cellStyle name="Normal 3 3 4 3 4 2" xfId="4873" xr:uid="{D1B224F0-C220-408E-A9CC-951D8A0F9039}"/>
    <cellStyle name="Normal 3 3 4 3 5" xfId="4003" xr:uid="{BAEAE8A4-92CA-4D39-917C-0712B538FEE1}"/>
    <cellStyle name="Normal 3 3 4 4" xfId="1405" xr:uid="{665917CD-2E1F-4E26-B8FF-F7C883159E4C}"/>
    <cellStyle name="Normal 3 3 4 4 2" xfId="2034" xr:uid="{79D50425-2DD0-4864-A2E2-1C7AB1809674}"/>
    <cellStyle name="Normal 3 3 4 4 2 2" xfId="2872" xr:uid="{094525CE-C14F-488B-A871-9C3B16D6254A}"/>
    <cellStyle name="Normal 3 3 4 4 2 2 2" xfId="5307" xr:uid="{67E188FD-A467-41F9-A404-8708BC9BD2C8}"/>
    <cellStyle name="Normal 3 3 4 4 2 3" xfId="4551" xr:uid="{5FD7498E-45C3-469C-B481-3800972CD594}"/>
    <cellStyle name="Normal 3 3 4 4 3" xfId="2440" xr:uid="{62050D8D-BE12-41D5-828E-0359566B4F78}"/>
    <cellStyle name="Normal 3 3 4 4 3 2" xfId="4875" xr:uid="{FE8020A5-E1CB-42DB-B143-987C1FA799F5}"/>
    <cellStyle name="Normal 3 3 4 4 4" xfId="4005" xr:uid="{9EE4D275-7ACF-4027-9F44-6EC4030A2CFE}"/>
    <cellStyle name="Normal 3 3 4 5" xfId="1864" xr:uid="{2BA38CFC-E470-433E-89DB-19B166968F03}"/>
    <cellStyle name="Normal 3 3 4 5 2" xfId="2702" xr:uid="{D2EC385D-B0D6-4FC8-8141-96DAF805DFCE}"/>
    <cellStyle name="Normal 3 3 4 5 2 2" xfId="5137" xr:uid="{7F725ECD-6F11-48ED-8F44-0A568D00CD6F}"/>
    <cellStyle name="Normal 3 3 4 5 3" xfId="4381" xr:uid="{0F80D9B4-F7FC-4A2B-9C6B-2EE56E1D1917}"/>
    <cellStyle name="Normal 3 3 4 6" xfId="2435" xr:uid="{A8FFF776-9E46-423C-9D14-26A7E5F83A0D}"/>
    <cellStyle name="Normal 3 3 4 6 2" xfId="4870" xr:uid="{61A98453-D359-4660-90F8-D8AAC76A79A1}"/>
    <cellStyle name="Normal 3 3 4 7" xfId="4000" xr:uid="{9778C4BF-EAED-40DA-93A1-3BFA90CBCD5F}"/>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2 2 2" xfId="5310" xr:uid="{5D001594-6455-46D7-AC75-0E1D7DBCC1EE}"/>
    <cellStyle name="Normal 3 3 5 2 2 3" xfId="4554" xr:uid="{A4A71CCD-357D-418E-9843-234203213E44}"/>
    <cellStyle name="Normal 3 3 5 2 3" xfId="2442" xr:uid="{E66ADC8B-3B10-4BB5-8FD0-A017042AFC0E}"/>
    <cellStyle name="Normal 3 3 5 2 3 2" xfId="4877" xr:uid="{263465DB-33FD-4B57-8E1A-0F003ACF9737}"/>
    <cellStyle name="Normal 3 3 5 2 4" xfId="4007" xr:uid="{82618909-4CE7-466C-ABDE-081D7DF8A914}"/>
    <cellStyle name="Normal 3 3 5 3" xfId="1867" xr:uid="{81E0B588-9032-4944-91A5-3CA4A913426A}"/>
    <cellStyle name="Normal 3 3 5 3 2" xfId="2705" xr:uid="{E8FCBC92-FD4E-4BFF-9C7E-B3D16879693F}"/>
    <cellStyle name="Normal 3 3 5 3 2 2" xfId="5140" xr:uid="{E6EA6B0E-F7FE-4F6E-AF32-F33C59B72194}"/>
    <cellStyle name="Normal 3 3 5 3 3" xfId="4384" xr:uid="{8A5FA0B7-37E6-4F1F-A6B9-3EF7DABAA0F3}"/>
    <cellStyle name="Normal 3 3 5 4" xfId="2441" xr:uid="{B52838F8-FAEC-4C00-9B0E-CE2CB7FE4336}"/>
    <cellStyle name="Normal 3 3 5 4 2" xfId="4876" xr:uid="{BF11BA40-B360-4951-8CB0-83E7F7D06BAF}"/>
    <cellStyle name="Normal 3 3 5 5" xfId="4006" xr:uid="{09C50C48-2449-40E1-880E-6AA976330DDF}"/>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2 2 2" xfId="5311" xr:uid="{AACC7517-FC02-47F9-BE82-2079831E27FD}"/>
    <cellStyle name="Normal 3 3 6 2 2 3" xfId="4555" xr:uid="{E268A843-69D5-415B-BC80-1992184E3619}"/>
    <cellStyle name="Normal 3 3 6 2 3" xfId="2444" xr:uid="{0B02FB7B-0676-4846-917E-9A93708FC029}"/>
    <cellStyle name="Normal 3 3 6 2 3 2" xfId="4879" xr:uid="{F909157F-98B5-41A7-AEF1-24D10C3A2915}"/>
    <cellStyle name="Normal 3 3 6 2 4" xfId="4009" xr:uid="{89DBD383-7F8F-4681-A986-AC3098BE95FB}"/>
    <cellStyle name="Normal 3 3 6 3" xfId="1868" xr:uid="{C5F39B25-5D2C-413F-8414-B90A7BC79881}"/>
    <cellStyle name="Normal 3 3 6 3 2" xfId="2706" xr:uid="{9771CDAC-AFD3-44AE-8B19-809F349A09BF}"/>
    <cellStyle name="Normal 3 3 6 3 2 2" xfId="5141" xr:uid="{A0939E39-24EC-4CD7-AF14-7442033417A6}"/>
    <cellStyle name="Normal 3 3 6 3 3" xfId="4385" xr:uid="{E16CEC21-4528-4F45-AAC5-EEC6E0AA0EB2}"/>
    <cellStyle name="Normal 3 3 6 4" xfId="2443" xr:uid="{4F9DFD65-C4EE-4042-A278-F91E2C27438C}"/>
    <cellStyle name="Normal 3 3 6 4 2" xfId="4878" xr:uid="{AF717E19-4357-417E-BC06-7133B057DBEF}"/>
    <cellStyle name="Normal 3 3 6 5" xfId="4008" xr:uid="{1BF2D357-7D01-49B5-A21A-B46E4A3FB8DB}"/>
    <cellStyle name="Normal 3 3 7" xfId="1410" xr:uid="{177FE0B9-15D3-4FD6-914A-15C5437B15A0}"/>
    <cellStyle name="Normal 3 3 7 2" xfId="2015" xr:uid="{F656B6F6-85C5-42B1-ADE5-D49436BB353F}"/>
    <cellStyle name="Normal 3 3 7 2 2" xfId="2853" xr:uid="{6DEEBB2A-9D42-4E8B-8833-01F69C7B1044}"/>
    <cellStyle name="Normal 3 3 7 2 2 2" xfId="5288" xr:uid="{284E1A21-61D9-4317-A2D4-CC9B946B549B}"/>
    <cellStyle name="Normal 3 3 7 2 3" xfId="4532" xr:uid="{EF9CDBA5-1E6D-417D-AB8B-D40CE9EB2CD7}"/>
    <cellStyle name="Normal 3 3 7 3" xfId="2445" xr:uid="{156F23E1-9503-4B67-88E7-A811E1B5605D}"/>
    <cellStyle name="Normal 3 3 7 3 2" xfId="4880" xr:uid="{F9AFEA38-455E-43B7-B076-2528CA9DCBB8}"/>
    <cellStyle name="Normal 3 3 7 4" xfId="4010" xr:uid="{AB765D11-6BEE-4E2C-B2C4-5D287FE75B99}"/>
    <cellStyle name="Normal 3 3 8" xfId="1845" xr:uid="{DA1D3347-50FA-4D55-ABF4-28F5780F8EA0}"/>
    <cellStyle name="Normal 3 3 8 2" xfId="2683" xr:uid="{5E2BB102-164E-41E0-88EC-8331CAEA81A9}"/>
    <cellStyle name="Normal 3 3 8 2 2" xfId="5118" xr:uid="{4C62DD1D-F18A-44A6-A0E1-16C25C044664}"/>
    <cellStyle name="Normal 3 3 8 3" xfId="4362" xr:uid="{D1D6D89F-1C97-455D-8E52-A8FD8AE11F22}"/>
    <cellStyle name="Normal 3 3 9" xfId="2238" xr:uid="{67223093-6D55-4D10-866E-FB3A7E3C7A67}"/>
    <cellStyle name="Normal 3 3 9 2" xfId="4707" xr:uid="{8338E768-8237-4084-804A-EC5363B9F671}"/>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2 2 2" xfId="5244" xr:uid="{AED631CC-97DF-4FC6-9B56-7F9FB3B2EC55}"/>
    <cellStyle name="Normal 3 5 2 3" xfId="4488" xr:uid="{535FBF8D-F77F-45ED-8136-F7DE7C828532}"/>
    <cellStyle name="Normal 3 5 3" xfId="2446" xr:uid="{D38533AA-7E60-4E2D-AE8F-5A21B02C7634}"/>
    <cellStyle name="Normal 3 5 3 2" xfId="4881" xr:uid="{FC9D4409-FFFD-45D3-AF45-89AB52CD2AF7}"/>
    <cellStyle name="Normal 3 5 4" xfId="4011" xr:uid="{4737EB5C-F06E-426A-808C-83B347CDE900}"/>
    <cellStyle name="Normal 3 6" xfId="1801" xr:uid="{AE5E5130-66D7-4456-96BB-04C887517A71}"/>
    <cellStyle name="Normal 3 6 2" xfId="2639" xr:uid="{9213465F-866C-46DC-9C94-DB086527884F}"/>
    <cellStyle name="Normal 3 6 2 2" xfId="5074" xr:uid="{F39775D5-5720-4F7B-9220-21181BECE1AD}"/>
    <cellStyle name="Normal 3 6 3" xfId="4318" xr:uid="{7638B34C-35F9-4624-A7D3-72AE3FCA2DBE}"/>
    <cellStyle name="Normal 3 7" xfId="2211" xr:uid="{01937FA9-C02D-43C7-B759-5DDCE3B77C71}"/>
    <cellStyle name="Normal 3 7 2" xfId="4701" xr:uid="{475CDF7F-1A87-423E-A876-DBABB37692DF}"/>
    <cellStyle name="Normal 3 8" xfId="2397" xr:uid="{4338B9C6-E7A0-455D-ADC3-4BFC1BC16ACF}"/>
    <cellStyle name="Normal 3 8 2" xfId="4832" xr:uid="{B0FC8700-B769-4F37-973C-18327EA4414A}"/>
    <cellStyle name="Normal 3 9" xfId="1360" xr:uid="{5339F9A2-E26C-4C7D-90CA-10A5E8068A28}"/>
    <cellStyle name="Normal 3 9 2" xfId="3962" xr:uid="{E47513EC-51EE-43F5-BFED-1706AF1ADD5E}"/>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2 2 2" xfId="5313" xr:uid="{719114A0-9D91-44B3-AD74-E2C285DE08EE}"/>
    <cellStyle name="Normal 4 10 2 2 3" xfId="4557" xr:uid="{12851DEE-FADA-40DE-8B79-808EB7352A45}"/>
    <cellStyle name="Normal 4 10 2 3" xfId="2449" xr:uid="{4B095C41-63D4-4635-BDCD-4D41C3409B55}"/>
    <cellStyle name="Normal 4 10 2 3 2" xfId="4884" xr:uid="{E14372BF-44DF-4C73-AF99-7C09E42D0EEF}"/>
    <cellStyle name="Normal 4 10 2 4" xfId="4014" xr:uid="{6068F74A-2D0E-475A-BCB3-560F97E6D2D0}"/>
    <cellStyle name="Normal 4 10 3" xfId="1870" xr:uid="{3503F00A-77CF-4E5D-A299-366FE81EB8FB}"/>
    <cellStyle name="Normal 4 10 3 2" xfId="2708" xr:uid="{EFE79BC0-E857-4949-A78F-ACA9D043128F}"/>
    <cellStyle name="Normal 4 10 3 2 2" xfId="5143" xr:uid="{269A4F99-D996-4F43-88F5-9FB8676534C0}"/>
    <cellStyle name="Normal 4 10 3 3" xfId="4387" xr:uid="{5E7753AC-7974-4960-8764-F3525C36CEFF}"/>
    <cellStyle name="Normal 4 10 4" xfId="2448" xr:uid="{801B24CB-8456-444F-90B3-2A48340AB901}"/>
    <cellStyle name="Normal 4 10 4 2" xfId="4883" xr:uid="{0547582D-CA10-403F-9653-1FE316E9C24E}"/>
    <cellStyle name="Normal 4 10 5" xfId="4013" xr:uid="{47B423A3-6C87-4724-AE3E-3C2A03A72B30}"/>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2 2 2" xfId="5312" xr:uid="{B19CD8B0-6D81-4757-9F9E-E2CEB4A0A8AE}"/>
    <cellStyle name="Normal 4 11 2 2 3" xfId="4556" xr:uid="{BAC5408D-A7D0-49EA-959E-55955D4FAA83}"/>
    <cellStyle name="Normal 4 11 2 3" xfId="2451" xr:uid="{F991B8BE-CBF8-4CD0-918B-1071E4D70F19}"/>
    <cellStyle name="Normal 4 11 2 3 2" xfId="4886" xr:uid="{A4BCA45A-EB0B-4052-AEBC-BA2BC685EFCC}"/>
    <cellStyle name="Normal 4 11 2 4" xfId="4016" xr:uid="{1D66AEBF-BA8D-4A5C-A041-FC1B861FA249}"/>
    <cellStyle name="Normal 4 11 3" xfId="1869" xr:uid="{9D21628D-F37E-4D0D-891C-BFFFEB29BE14}"/>
    <cellStyle name="Normal 4 11 3 2" xfId="2707" xr:uid="{981A7E47-6ACB-4EE8-8461-AA96CF9A6637}"/>
    <cellStyle name="Normal 4 11 3 2 2" xfId="5142" xr:uid="{696D8BC5-2493-4591-80EA-6D5909F79210}"/>
    <cellStyle name="Normal 4 11 3 3" xfId="4386" xr:uid="{993F8755-F726-4AD6-A33F-4FFBBEDD9189}"/>
    <cellStyle name="Normal 4 11 4" xfId="2450" xr:uid="{4E7992CB-C4B0-4510-8EA8-EA0FDCAD0976}"/>
    <cellStyle name="Normal 4 11 4 2" xfId="4885" xr:uid="{942B3467-EA58-4755-AD80-7E3B3AB1E734}"/>
    <cellStyle name="Normal 4 11 5" xfId="4015" xr:uid="{3E83B5D5-700B-45AF-AE2E-6A98ADC66D48}"/>
    <cellStyle name="Normal 4 12" xfId="1419" xr:uid="{C2675D15-315A-4588-A442-F1834919F03C}"/>
    <cellStyle name="Normal 4 12 2" xfId="1972" xr:uid="{458578E6-801C-4E86-805E-3BDF025052D2}"/>
    <cellStyle name="Normal 4 12 2 2" xfId="2810" xr:uid="{915344BF-27CF-4D64-909E-A52F371A4AB0}"/>
    <cellStyle name="Normal 4 12 2 2 2" xfId="5245" xr:uid="{018E0805-E0F1-4BA3-BFA2-7FA2F2366DC6}"/>
    <cellStyle name="Normal 4 12 2 3" xfId="4489" xr:uid="{841F1D21-B2B1-413D-A7E2-EE2CB24A3E02}"/>
    <cellStyle name="Normal 4 12 3" xfId="2452" xr:uid="{1F5BB8FA-3E8D-4099-8305-C1C385E1F88C}"/>
    <cellStyle name="Normal 4 12 3 2" xfId="4887" xr:uid="{56B84EFB-A44B-44B7-A25D-CF15D4DC0416}"/>
    <cellStyle name="Normal 4 12 4" xfId="4017" xr:uid="{EA11F2E1-539D-4391-AF74-3309F43F2F3D}"/>
    <cellStyle name="Normal 4 13" xfId="1802" xr:uid="{57F4B076-F719-4377-A171-ED751CA88326}"/>
    <cellStyle name="Normal 4 13 2" xfId="2640" xr:uid="{212FB2C4-E530-4B5D-AB8C-984984C0182B}"/>
    <cellStyle name="Normal 4 13 2 2" xfId="5075" xr:uid="{1CE43B8A-0EF4-44B0-883D-F0232764FB97}"/>
    <cellStyle name="Normal 4 13 3" xfId="4319" xr:uid="{40790331-AE13-462F-BC88-BCDB1B9F1B87}"/>
    <cellStyle name="Normal 4 14" xfId="2212" xr:uid="{C6763DA5-5318-4333-A471-9CCB44A4CC81}"/>
    <cellStyle name="Normal 4 14 2" xfId="4702" xr:uid="{6E104FC1-3AC7-4501-8C2C-346CAB50C0B7}"/>
    <cellStyle name="Normal 4 15" xfId="2447" xr:uid="{C0BECD78-7F86-4D73-9846-7A445EFEAD39}"/>
    <cellStyle name="Normal 4 15 2" xfId="4882" xr:uid="{7C18B373-1066-4032-8D72-C879597BBB08}"/>
    <cellStyle name="Normal 4 16" xfId="1414" xr:uid="{B496AEFD-17AA-4AEA-9CBA-0888E904FC39}"/>
    <cellStyle name="Normal 4 16 2" xfId="4012" xr:uid="{896D612F-9991-46A7-9400-F5434A3278D1}"/>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2 2 2" xfId="5314" xr:uid="{F5B3A855-4774-43CB-9A7C-5BE3826906BF}"/>
    <cellStyle name="Normal 4 2 3 2 3" xfId="4558" xr:uid="{144A87C3-9719-4754-A902-C2F8B72A9FF5}"/>
    <cellStyle name="Normal 4 2 3 3" xfId="2454" xr:uid="{86B853D3-0648-425E-9A2D-D413211D119B}"/>
    <cellStyle name="Normal 4 2 3 3 2" xfId="4889" xr:uid="{B0F713C0-B098-4BD7-91A2-B576D63D1231}"/>
    <cellStyle name="Normal 4 2 3 4" xfId="4019" xr:uid="{469A8274-1778-44DC-AC1A-B3F5D027D04D}"/>
    <cellStyle name="Normal 4 2 4" xfId="1871" xr:uid="{D5863288-E899-4115-9C51-94A6218A7911}"/>
    <cellStyle name="Normal 4 2 4 2" xfId="2709" xr:uid="{9B31484D-2940-4239-BF0A-50C171192BDD}"/>
    <cellStyle name="Normal 4 2 4 2 2" xfId="5144" xr:uid="{2FCF1EAE-DFE2-40C3-B1DC-4D5412BBAE5E}"/>
    <cellStyle name="Normal 4 2 4 3" xfId="4388" xr:uid="{E9718130-ADD9-4B9E-9381-F97D99741792}"/>
    <cellStyle name="Normal 4 2 5" xfId="2239" xr:uid="{8BFA4B12-02EB-4D46-A543-A51021E5129A}"/>
    <cellStyle name="Normal 4 2 5 2" xfId="4708" xr:uid="{0E69F372-B876-4F2D-86B6-FC24C7CDD8E6}"/>
    <cellStyle name="Normal 4 2 6" xfId="2453" xr:uid="{C333BE56-60BC-4572-80D4-B630E3BD9236}"/>
    <cellStyle name="Normal 4 2 6 2" xfId="4888" xr:uid="{39A7FF67-6B2E-47B2-ACF5-6072066B76C0}"/>
    <cellStyle name="Normal 4 2 7" xfId="1420" xr:uid="{E22DB21D-3CCA-4A75-A6DB-1CEA16C08A21}"/>
    <cellStyle name="Normal 4 2 7 2" xfId="4018" xr:uid="{62A93309-6712-461C-B190-68DCD848436B}"/>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2 2 2" xfId="5315" xr:uid="{BE7CFFCD-B926-4BE2-ACF4-B2676A970AA9}"/>
    <cellStyle name="Normal 4 3 2 2 2 3" xfId="4559" xr:uid="{A8DCB4D2-BCE3-488F-8ADD-B3333623B1D3}"/>
    <cellStyle name="Normal 4 3 2 2 3" xfId="2456" xr:uid="{5742E25E-E816-49DC-9F0C-ACEAFBB57BAB}"/>
    <cellStyle name="Normal 4 3 2 2 3 2" xfId="4891" xr:uid="{1710859E-04CB-41FB-8B95-67189F57FF30}"/>
    <cellStyle name="Normal 4 3 2 2 4" xfId="4021" xr:uid="{B58CD651-67D6-4202-9812-7005862BF350}"/>
    <cellStyle name="Normal 4 3 2 3" xfId="1872" xr:uid="{B4856B71-0879-4DFB-889D-D0845C997D55}"/>
    <cellStyle name="Normal 4 3 2 3 2" xfId="2710" xr:uid="{0CB65072-B25B-46A3-AF23-36DCA7580F4E}"/>
    <cellStyle name="Normal 4 3 2 3 2 2" xfId="5145" xr:uid="{D5C3B2A6-AA33-4DCC-BCCC-C3667356F220}"/>
    <cellStyle name="Normal 4 3 2 3 3" xfId="4389" xr:uid="{0A6F1E10-624E-4C5B-A27C-08CD3D23923B}"/>
    <cellStyle name="Normal 4 3 2 4" xfId="2455" xr:uid="{0362333F-8C70-45AF-AA44-FD0EA3CAB068}"/>
    <cellStyle name="Normal 4 3 2 4 2" xfId="4890" xr:uid="{DB2D5FDF-BD53-48A6-956F-9ECE89CCF3E0}"/>
    <cellStyle name="Normal 4 3 2 5" xfId="4020" xr:uid="{54E6F5FD-EADB-4157-A16F-2675B686B8A7}"/>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2 2 2" xfId="5318" xr:uid="{CD74940A-1210-4902-830F-1FDF8EAD5CCE}"/>
    <cellStyle name="Normal 4 6 2 2 2 2 3" xfId="4562" xr:uid="{93927BC9-A06E-4636-B70B-127807266E1D}"/>
    <cellStyle name="Normal 4 6 2 2 2 3" xfId="2460" xr:uid="{4131F70C-5FD2-4D6C-BDA2-041357C18EFF}"/>
    <cellStyle name="Normal 4 6 2 2 2 3 2" xfId="4895" xr:uid="{8BB2F9B5-B27D-4ED7-9B43-CD71B629FB50}"/>
    <cellStyle name="Normal 4 6 2 2 2 4" xfId="4025" xr:uid="{5BD34746-D110-46C0-A3B3-8224C6607C53}"/>
    <cellStyle name="Normal 4 6 2 2 3" xfId="1875" xr:uid="{54234563-2460-401B-9890-2B1A84C8A454}"/>
    <cellStyle name="Normal 4 6 2 2 3 2" xfId="2713" xr:uid="{1D6EC568-6CE7-4772-A4CC-8DEA4D51AADC}"/>
    <cellStyle name="Normal 4 6 2 2 3 2 2" xfId="5148" xr:uid="{BCE00C4E-FB55-4966-BE5D-16F505410B5D}"/>
    <cellStyle name="Normal 4 6 2 2 3 3" xfId="4392" xr:uid="{FAB2241A-8873-4766-ABB8-30ABF093999A}"/>
    <cellStyle name="Normal 4 6 2 2 4" xfId="2459" xr:uid="{973FEA00-9FB0-4775-AAC5-C2E643486BBB}"/>
    <cellStyle name="Normal 4 6 2 2 4 2" xfId="4894" xr:uid="{04240FB5-C27A-42B4-83C9-2298CA7EF1D5}"/>
    <cellStyle name="Normal 4 6 2 2 5" xfId="4024" xr:uid="{F096323C-5FF2-4AC9-BDEF-E95E14FF6A5C}"/>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2 2 2" xfId="5319" xr:uid="{C208CA13-3114-4D8E-B28F-4CF04462D9B5}"/>
    <cellStyle name="Normal 4 6 2 3 2 2 3" xfId="4563" xr:uid="{3D15BEB3-7053-4817-93F8-121707D4CA10}"/>
    <cellStyle name="Normal 4 6 2 3 2 3" xfId="2462" xr:uid="{1E3B1081-89B0-4822-AAE3-103D4D835651}"/>
    <cellStyle name="Normal 4 6 2 3 2 3 2" xfId="4897" xr:uid="{122146DC-964E-4CA6-8AB5-0E637BBCAB78}"/>
    <cellStyle name="Normal 4 6 2 3 2 4" xfId="4027" xr:uid="{21E68CBC-D217-43A4-B700-56094F58849A}"/>
    <cellStyle name="Normal 4 6 2 3 3" xfId="1876" xr:uid="{DE07F520-FA4C-4D4B-96F4-795A6B558887}"/>
    <cellStyle name="Normal 4 6 2 3 3 2" xfId="2714" xr:uid="{70C31B90-BBB6-4817-949C-DA2E3A0ED760}"/>
    <cellStyle name="Normal 4 6 2 3 3 2 2" xfId="5149" xr:uid="{B51F2859-ED5D-4806-841E-F8E485598FBD}"/>
    <cellStyle name="Normal 4 6 2 3 3 3" xfId="4393" xr:uid="{8D6825B3-0965-47DD-8C90-D8A6EFA5F9B5}"/>
    <cellStyle name="Normal 4 6 2 3 4" xfId="2461" xr:uid="{BE2315A9-A79D-4D58-AF9E-B002EF2EDB3E}"/>
    <cellStyle name="Normal 4 6 2 3 4 2" xfId="4896" xr:uid="{C63BCD25-DBDC-49AC-BA11-D9820809E420}"/>
    <cellStyle name="Normal 4 6 2 3 5" xfId="4026" xr:uid="{1A9362D9-7AA9-43DE-941F-F8E5E149EBE9}"/>
    <cellStyle name="Normal 4 6 2 4" xfId="1435" xr:uid="{7685870A-C047-4C99-A0BF-1701062D3354}"/>
    <cellStyle name="Normal 4 6 2 4 2" xfId="2044" xr:uid="{798DA74D-08DF-4DED-8B9C-1C1506BC42ED}"/>
    <cellStyle name="Normal 4 6 2 4 2 2" xfId="2882" xr:uid="{9BC80D4D-FA01-4E59-B917-70D765CA0989}"/>
    <cellStyle name="Normal 4 6 2 4 2 2 2" xfId="5317" xr:uid="{C47E416D-7055-4168-AC8F-75A3BF239000}"/>
    <cellStyle name="Normal 4 6 2 4 2 3" xfId="4561" xr:uid="{B7C2E245-5453-418B-9BF5-185A7EAF3D10}"/>
    <cellStyle name="Normal 4 6 2 4 3" xfId="2463" xr:uid="{63FE4BDB-C9BD-4503-9D20-D208D220B406}"/>
    <cellStyle name="Normal 4 6 2 4 3 2" xfId="4898" xr:uid="{A5077B30-1F46-4E2F-B166-7FAC0844CF60}"/>
    <cellStyle name="Normal 4 6 2 4 4" xfId="4028" xr:uid="{0CFCDC1E-5BE4-461A-86D0-07D4964EF215}"/>
    <cellStyle name="Normal 4 6 2 5" xfId="1874" xr:uid="{973D753B-4B02-424F-B827-B46D26EA69ED}"/>
    <cellStyle name="Normal 4 6 2 5 2" xfId="2712" xr:uid="{CB97BAA2-3859-4EA1-9439-8586C8258A66}"/>
    <cellStyle name="Normal 4 6 2 5 2 2" xfId="5147" xr:uid="{EF09B441-62DE-41AD-9513-FD62418A4BBD}"/>
    <cellStyle name="Normal 4 6 2 5 3" xfId="4391" xr:uid="{61D018AD-7B81-465A-8629-0C7FF7BED436}"/>
    <cellStyle name="Normal 4 6 2 6" xfId="2458" xr:uid="{AA81057F-D192-404A-A8E8-9071E5A4ADE6}"/>
    <cellStyle name="Normal 4 6 2 6 2" xfId="4893" xr:uid="{10558653-832F-420D-9D5B-B9EC151A291A}"/>
    <cellStyle name="Normal 4 6 2 7" xfId="4023" xr:uid="{BF1FD5BF-6D48-44AE-A296-D0215D5C3682}"/>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2 2 2" xfId="5320" xr:uid="{C32D534B-5787-484A-817C-F3F2A6A40055}"/>
    <cellStyle name="Normal 4 6 3 2 2 3" xfId="4564" xr:uid="{F706264E-E4C1-4F91-95EA-BFA6D65A96C1}"/>
    <cellStyle name="Normal 4 6 3 2 3" xfId="2465" xr:uid="{5A2DBE64-45DA-4212-A44A-54DB40C37055}"/>
    <cellStyle name="Normal 4 6 3 2 3 2" xfId="4900" xr:uid="{61F742CB-04DB-4464-9F85-AFAB39FC0BBA}"/>
    <cellStyle name="Normal 4 6 3 2 4" xfId="4030" xr:uid="{8256C4AD-F679-4712-84B0-670DD9908C17}"/>
    <cellStyle name="Normal 4 6 3 3" xfId="1877" xr:uid="{5BBE7A73-9613-4479-9A5B-E8417AD7049E}"/>
    <cellStyle name="Normal 4 6 3 3 2" xfId="2715" xr:uid="{AD255259-EF28-4D48-98CF-3BC0804EAC48}"/>
    <cellStyle name="Normal 4 6 3 3 2 2" xfId="5150" xr:uid="{1D99E74D-766E-40E5-A771-3A52F40F7134}"/>
    <cellStyle name="Normal 4 6 3 3 3" xfId="4394" xr:uid="{D3F18292-5A86-4AB1-A5A6-3F9E481A7C3B}"/>
    <cellStyle name="Normal 4 6 3 4" xfId="2464" xr:uid="{03FBC877-9BFA-4D45-BAA9-8CE6AC874AA9}"/>
    <cellStyle name="Normal 4 6 3 4 2" xfId="4899" xr:uid="{53409D70-B45A-4775-8E73-0E2922E18E91}"/>
    <cellStyle name="Normal 4 6 3 5" xfId="4029" xr:uid="{8C1E8B8B-7492-41E0-8F16-63AB36D2E01A}"/>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2 2 2" xfId="5321" xr:uid="{439FC446-7D45-44ED-82C8-A5FB559245BE}"/>
    <cellStyle name="Normal 4 6 4 2 2 3" xfId="4565" xr:uid="{824FA100-1D34-4969-801F-47E22C067E5B}"/>
    <cellStyle name="Normal 4 6 4 2 3" xfId="2467" xr:uid="{A55FA090-2633-4C7E-8203-1CA3C44A89A3}"/>
    <cellStyle name="Normal 4 6 4 2 3 2" xfId="4902" xr:uid="{71E46671-27D0-4B74-BBF4-AF96CA15768F}"/>
    <cellStyle name="Normal 4 6 4 2 4" xfId="4032" xr:uid="{B6073619-C6AA-4E33-8A91-826F68341C65}"/>
    <cellStyle name="Normal 4 6 4 3" xfId="1878" xr:uid="{B10AD301-133D-48CF-938B-C8FD426F1AD5}"/>
    <cellStyle name="Normal 4 6 4 3 2" xfId="2716" xr:uid="{4EA15C64-6731-4FE6-BC33-93FE40CCD1A8}"/>
    <cellStyle name="Normal 4 6 4 3 2 2" xfId="5151" xr:uid="{C2561033-5E89-494D-B6BB-622822F57F7D}"/>
    <cellStyle name="Normal 4 6 4 3 3" xfId="4395" xr:uid="{13B87717-E6D9-4596-A098-65F59874B98D}"/>
    <cellStyle name="Normal 4 6 4 4" xfId="2466" xr:uid="{B4F27700-57BA-437C-8C0B-C5D0300DDAA7}"/>
    <cellStyle name="Normal 4 6 4 4 2" xfId="4901" xr:uid="{E6B6E6E8-E0B3-4DF0-84AD-FA16A6856107}"/>
    <cellStyle name="Normal 4 6 4 5" xfId="4031" xr:uid="{5757C5BE-6F3D-4FE1-9F3B-364BD56BEA42}"/>
    <cellStyle name="Normal 4 6 5" xfId="1440" xr:uid="{5529D59E-F711-47D2-9E2F-294B7FD0334F}"/>
    <cellStyle name="Normal 4 6 5 2" xfId="2043" xr:uid="{681AB269-9F92-4940-9D75-996C5C906CD5}"/>
    <cellStyle name="Normal 4 6 5 2 2" xfId="2881" xr:uid="{0EFB0F9E-DEF2-45D7-BA4F-62EAD558C49A}"/>
    <cellStyle name="Normal 4 6 5 2 2 2" xfId="5316" xr:uid="{5FABCF2F-9763-475D-BA93-03D031AA71C1}"/>
    <cellStyle name="Normal 4 6 5 2 3" xfId="4560" xr:uid="{036422C0-13C9-4323-B554-2F32109732F3}"/>
    <cellStyle name="Normal 4 6 5 3" xfId="2468" xr:uid="{B9DD7042-CEBF-4012-AE3D-17A97F0A0875}"/>
    <cellStyle name="Normal 4 6 5 3 2" xfId="4903" xr:uid="{04669035-AA24-471E-A8EA-5B35B9ECE7AF}"/>
    <cellStyle name="Normal 4 6 5 4" xfId="4033" xr:uid="{3268616B-37C1-41E1-8A8A-25A9CA7F45AF}"/>
    <cellStyle name="Normal 4 6 6" xfId="1873" xr:uid="{838CBE68-CE96-46A0-A151-4D4BDB6F83D1}"/>
    <cellStyle name="Normal 4 6 6 2" xfId="2711" xr:uid="{93232B3B-1A78-44A2-B8C2-634FCE164D55}"/>
    <cellStyle name="Normal 4 6 6 2 2" xfId="5146" xr:uid="{0E288EB3-0F0E-448E-A2DE-E67DE7427D0E}"/>
    <cellStyle name="Normal 4 6 6 3" xfId="4390" xr:uid="{1C2D5689-F1A9-4788-B8B0-5798895A6DC9}"/>
    <cellStyle name="Normal 4 6 7" xfId="2457" xr:uid="{334A6610-4525-4AC8-9493-8278EF16AB75}"/>
    <cellStyle name="Normal 4 6 7 2" xfId="4892" xr:uid="{3213FACD-F68B-4182-B01C-1E25F711EEFD}"/>
    <cellStyle name="Normal 4 6 8" xfId="4022" xr:uid="{3F0EE19F-820F-49E8-B779-A9EE03DFFBB4}"/>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2 2 2" xfId="5323" xr:uid="{22115814-EC69-4094-8338-EB18F43B0C25}"/>
    <cellStyle name="Normal 4 7 2 2 2 3" xfId="4567" xr:uid="{484C0353-77B2-4652-B691-6231BCE8845F}"/>
    <cellStyle name="Normal 4 7 2 2 3" xfId="2471" xr:uid="{2D85F0FD-ADEF-4301-9452-92D8FE5FA373}"/>
    <cellStyle name="Normal 4 7 2 2 3 2" xfId="4906" xr:uid="{E0E1DBE1-132B-4375-9B6C-FE13D9F3BCE1}"/>
    <cellStyle name="Normal 4 7 2 2 4" xfId="4036" xr:uid="{2944148E-CAAB-44CF-8F88-295C8FCC4386}"/>
    <cellStyle name="Normal 4 7 2 3" xfId="1880" xr:uid="{6FEFBFD5-CC97-466A-B966-7B4E1850B3D1}"/>
    <cellStyle name="Normal 4 7 2 3 2" xfId="2718" xr:uid="{F6B2717C-439A-4755-A364-40BF2D0B1407}"/>
    <cellStyle name="Normal 4 7 2 3 2 2" xfId="5153" xr:uid="{64793ACA-938C-416B-B491-FA0636FB035E}"/>
    <cellStyle name="Normal 4 7 2 3 3" xfId="4397" xr:uid="{E95CF95F-F2E3-400C-823B-D19673E5F257}"/>
    <cellStyle name="Normal 4 7 2 4" xfId="2470" xr:uid="{50920F58-4314-4D57-9B6B-CB597468B788}"/>
    <cellStyle name="Normal 4 7 2 4 2" xfId="4905" xr:uid="{E76C06AA-8864-4268-AE42-98DE847F0C23}"/>
    <cellStyle name="Normal 4 7 2 5" xfId="4035" xr:uid="{73884499-37A9-49B7-AFCB-2301AAEEE436}"/>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2 2 2" xfId="5324" xr:uid="{7AAFE9E8-80EE-4FB9-A5F5-189E97A86C3F}"/>
    <cellStyle name="Normal 4 7 3 2 2 3" xfId="4568" xr:uid="{A7A4E4F7-9323-4283-8B32-315CEFED7FD9}"/>
    <cellStyle name="Normal 4 7 3 2 3" xfId="2473" xr:uid="{56CB45A4-C19F-4A14-B173-32A3FE35A135}"/>
    <cellStyle name="Normal 4 7 3 2 3 2" xfId="4908" xr:uid="{DB6AE911-78F0-4524-B149-A2465A84B277}"/>
    <cellStyle name="Normal 4 7 3 2 4" xfId="4038" xr:uid="{77E27D78-D974-4D30-8F21-9DE45E76A12A}"/>
    <cellStyle name="Normal 4 7 3 3" xfId="1881" xr:uid="{887B1CAF-DD4A-4EFF-A2FE-74C301FD3862}"/>
    <cellStyle name="Normal 4 7 3 3 2" xfId="2719" xr:uid="{B9855D14-C8A6-4D54-BF05-6E25B47E7C26}"/>
    <cellStyle name="Normal 4 7 3 3 2 2" xfId="5154" xr:uid="{B134FB12-1BF8-41C2-82CC-CAEFEE7AB882}"/>
    <cellStyle name="Normal 4 7 3 3 3" xfId="4398" xr:uid="{D9506790-4B3D-49A8-A91B-4CFD436DF499}"/>
    <cellStyle name="Normal 4 7 3 4" xfId="2472" xr:uid="{B3822C67-3739-47E2-85A7-B8AABAD7E22B}"/>
    <cellStyle name="Normal 4 7 3 4 2" xfId="4907" xr:uid="{56086B24-366F-4BF1-B7B5-968AEFF8DE53}"/>
    <cellStyle name="Normal 4 7 3 5" xfId="4037" xr:uid="{9C0A4BC8-090B-4E23-A2E6-200122297B5C}"/>
    <cellStyle name="Normal 4 7 4" xfId="1446" xr:uid="{7DFE28CB-EE08-478B-911A-69CF0808316E}"/>
    <cellStyle name="Normal 4 7 4 2" xfId="2049" xr:uid="{80DB77B7-EE3A-4E07-83BB-841CEBC0F2AA}"/>
    <cellStyle name="Normal 4 7 4 2 2" xfId="2887" xr:uid="{75A459BA-04D7-4A05-91BF-AC7A86F972AB}"/>
    <cellStyle name="Normal 4 7 4 2 2 2" xfId="5322" xr:uid="{3F06D13A-C637-4DE1-A4B7-D7CD0E9B7E61}"/>
    <cellStyle name="Normal 4 7 4 2 3" xfId="4566" xr:uid="{C85C73B2-2BF8-4775-864C-E828EEC068D7}"/>
    <cellStyle name="Normal 4 7 4 3" xfId="2474" xr:uid="{ADB7D63D-4593-483F-B1DF-7A81208DE749}"/>
    <cellStyle name="Normal 4 7 4 3 2" xfId="4909" xr:uid="{D36E8B7C-B32C-4EED-B83F-8BD46143B92D}"/>
    <cellStyle name="Normal 4 7 4 4" xfId="4039" xr:uid="{09CED49F-6017-4FCE-BA6A-347D10F711E5}"/>
    <cellStyle name="Normal 4 7 5" xfId="1879" xr:uid="{09DACF4E-CEC4-4F23-BD12-C72385493460}"/>
    <cellStyle name="Normal 4 7 5 2" xfId="2717" xr:uid="{AE198D66-DCE2-4C5F-A8C7-6DFC4CC274CE}"/>
    <cellStyle name="Normal 4 7 5 2 2" xfId="5152" xr:uid="{78DFE5B4-8B4E-43FA-9A8F-DD59DE241DD8}"/>
    <cellStyle name="Normal 4 7 5 3" xfId="4396" xr:uid="{0E971057-20BE-4C20-9505-51D690ECD0F1}"/>
    <cellStyle name="Normal 4 7 6" xfId="2469" xr:uid="{0DA17CEE-83E9-4663-A93D-B87A3F0DE97A}"/>
    <cellStyle name="Normal 4 7 6 2" xfId="4904" xr:uid="{9E977966-1D76-40A8-9B53-16023BB46549}"/>
    <cellStyle name="Normal 4 7 7" xfId="4034" xr:uid="{E0955BE2-1421-4414-A10E-F0D2828501DC}"/>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2 2 2" xfId="5325" xr:uid="{D07A1274-CD1D-4A74-A2DC-0C7F017BCC23}"/>
    <cellStyle name="Normal 4 8 2 2 3" xfId="4569" xr:uid="{36500285-0CB5-4F34-AE22-C7741BA56B8C}"/>
    <cellStyle name="Normal 4 8 2 3" xfId="2476" xr:uid="{F0D04844-AD76-43F4-A23E-5F6D3DFE9EFC}"/>
    <cellStyle name="Normal 4 8 2 3 2" xfId="4911" xr:uid="{073F8336-0CFB-46C3-8AB1-EBC1E64C2063}"/>
    <cellStyle name="Normal 4 8 2 4" xfId="4041" xr:uid="{18ADB92A-2848-4131-A249-3FE0087D6A5A}"/>
    <cellStyle name="Normal 4 8 3" xfId="1882" xr:uid="{B704E103-0C78-4F51-A269-B219C8C5EACD}"/>
    <cellStyle name="Normal 4 8 3 2" xfId="2720" xr:uid="{358CE768-6715-4304-9F6D-E28762CF3F7B}"/>
    <cellStyle name="Normal 4 8 3 2 2" xfId="5155" xr:uid="{632DE23F-B9AF-4C58-B600-68F8D6492C69}"/>
    <cellStyle name="Normal 4 8 3 3" xfId="4399" xr:uid="{7421A8A0-ADEE-4900-9B3D-4D9D5B0F9919}"/>
    <cellStyle name="Normal 4 8 4" xfId="2475" xr:uid="{C0E8D20C-B9AE-41A3-BC22-9F97F8E30C41}"/>
    <cellStyle name="Normal 4 8 4 2" xfId="4910" xr:uid="{5494FE82-818B-467A-B573-E19A61E348A1}"/>
    <cellStyle name="Normal 4 8 5" xfId="4040" xr:uid="{4E87491C-58D8-490A-AF30-19FA716F5950}"/>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2 2 2" xfId="5326" xr:uid="{48541D40-2B62-4B17-A6B5-BD4BEC8822A3}"/>
    <cellStyle name="Normal 4 9 2 2 3" xfId="4570" xr:uid="{707D115E-EAC7-4AE8-9A41-0A92B9E3A208}"/>
    <cellStyle name="Normal 4 9 2 3" xfId="2478" xr:uid="{F4C734D3-5096-482B-8689-A913EE72ECB8}"/>
    <cellStyle name="Normal 4 9 2 3 2" xfId="4913" xr:uid="{07BDD20E-C372-4725-BE77-0345DBEB0CB7}"/>
    <cellStyle name="Normal 4 9 2 4" xfId="4043" xr:uid="{19A0311B-301A-4885-BC1D-9287F77F327F}"/>
    <cellStyle name="Normal 4 9 3" xfId="1883" xr:uid="{3A33CAD0-CC6D-4D5D-B42C-78BF7D0C51F5}"/>
    <cellStyle name="Normal 4 9 3 2" xfId="2721" xr:uid="{4A5C4AF6-2976-4AF4-9B65-7342A5EA4388}"/>
    <cellStyle name="Normal 4 9 3 2 2" xfId="5156" xr:uid="{BA534A4A-4FBB-47BA-A51E-76B3178910CE}"/>
    <cellStyle name="Normal 4 9 3 3" xfId="4400" xr:uid="{CB6CE08E-C652-4998-8786-1061855C9F8C}"/>
    <cellStyle name="Normal 4 9 4" xfId="2477" xr:uid="{35FF2734-CDF3-4E47-8BFE-33CDDDC85BF2}"/>
    <cellStyle name="Normal 4 9 4 2" xfId="4912" xr:uid="{0A1E9949-DDC5-40EF-89BD-50A959B2A503}"/>
    <cellStyle name="Normal 4 9 5" xfId="4042" xr:uid="{A110DD3B-0993-4C66-A139-7FA743BCE779}"/>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0 2" xfId="4704" xr:uid="{2EAA99BF-9730-407C-9B8B-50096216FFC8}"/>
    <cellStyle name="Normal 5 11" xfId="2479" xr:uid="{C26C9D8F-F8AF-4EBB-9229-6D8E12FDC96C}"/>
    <cellStyle name="Normal 5 11 2" xfId="4914" xr:uid="{BA6C05E7-FFBD-4071-AD66-088D41B77BEA}"/>
    <cellStyle name="Normal 5 12" xfId="1451" xr:uid="{37A0B83C-AF6A-4FA9-9082-8F525E6BF3AC}"/>
    <cellStyle name="Normal 5 12 2" xfId="4044" xr:uid="{98135312-A6EB-4396-A499-881BD8E6AB71}"/>
    <cellStyle name="Normal 5 13" xfId="3366" xr:uid="{68083BC7-707A-4431-BB6B-10C35827BF9C}"/>
    <cellStyle name="Normal 5 2" xfId="238" xr:uid="{00000000-0005-0000-0000-0000B9010000}"/>
    <cellStyle name="Normal 5 2 10" xfId="1452" xr:uid="{B345E12F-17F1-4A0B-8BC7-874CE4D3D51B}"/>
    <cellStyle name="Normal 5 2 10 2" xfId="4045" xr:uid="{824C530E-9339-4872-8529-1FCAA262ACBD}"/>
    <cellStyle name="Normal 5 2 11" xfId="3378" xr:uid="{7A2874FF-E016-4BE9-9FBE-500CC83121D5}"/>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2 2 2" xfId="5330" xr:uid="{B882B195-3C14-46E9-B04D-2B6B8FD07629}"/>
    <cellStyle name="Normal 5 2 2 2 2 2 2 2 3" xfId="3807" xr:uid="{2B6BFB72-2E83-4937-8C40-C0F7F7FA529B}"/>
    <cellStyle name="Normal 5 2 2 2 2 2 2 3" xfId="2057" xr:uid="{204ACA08-09E5-46E2-AEBA-105B0418E9C9}"/>
    <cellStyle name="Normal 5 2 2 2 2 2 2 3 2" xfId="4574" xr:uid="{E58B8DC7-654D-4594-AC9E-76ABC305E332}"/>
    <cellStyle name="Normal 5 2 2 2 2 2 2 4" xfId="3598" xr:uid="{AE6306E9-711D-418B-837E-F1A8AD7686C1}"/>
    <cellStyle name="Normal 5 2 2 2 2 2 3" xfId="769" xr:uid="{00000000-0005-0000-0000-0000C0010000}"/>
    <cellStyle name="Normal 5 2 2 2 2 2 3 2" xfId="2484" xr:uid="{6C79D472-4AB0-4D02-851E-40CE9EFCE663}"/>
    <cellStyle name="Normal 5 2 2 2 2 2 3 2 2" xfId="4919" xr:uid="{D4B2ED2E-0976-479F-B33F-19DB5B4F19CA}"/>
    <cellStyle name="Normal 5 2 2 2 2 2 3 3" xfId="3702" xr:uid="{7BABD59C-A01D-4F69-8A3E-E9AF17DC463F}"/>
    <cellStyle name="Normal 5 2 2 2 2 2 4" xfId="1456" xr:uid="{C9665ABD-B1B5-4347-A3E7-DD7E5A7C7A5D}"/>
    <cellStyle name="Normal 5 2 2 2 2 2 4 2" xfId="4049" xr:uid="{E3F9C28E-59AD-4BAD-9CDA-1B5328FBD9A6}"/>
    <cellStyle name="Normal 5 2 2 2 2 2 5" xfId="3488" xr:uid="{8B8CB446-55E6-47B3-B869-F11141FFA538}"/>
    <cellStyle name="Normal 5 2 2 2 2 3" xfId="612" xr:uid="{00000000-0005-0000-0000-0000C1010000}"/>
    <cellStyle name="Normal 5 2 2 2 2 3 2" xfId="823" xr:uid="{00000000-0005-0000-0000-0000C2010000}"/>
    <cellStyle name="Normal 5 2 2 2 2 3 2 2" xfId="2725" xr:uid="{5DFEC5AC-B65F-4415-ACD7-2F6FCA3936ED}"/>
    <cellStyle name="Normal 5 2 2 2 2 3 2 2 2" xfId="5160" xr:uid="{259C6B6B-9DD8-4A7D-B0C5-9BD8E74695AA}"/>
    <cellStyle name="Normal 5 2 2 2 2 3 2 3" xfId="3755" xr:uid="{2AAE0E7D-64EC-4EF1-997E-3635065BD232}"/>
    <cellStyle name="Normal 5 2 2 2 2 3 3" xfId="1887" xr:uid="{26117F46-18A8-4F58-BEE2-F6FDB9AE8D26}"/>
    <cellStyle name="Normal 5 2 2 2 2 3 3 2" xfId="4404" xr:uid="{C63EADEC-E82B-4A5C-A935-49CC868A2209}"/>
    <cellStyle name="Normal 5 2 2 2 2 3 4" xfId="3546" xr:uid="{777AF9A5-3FC5-48AF-958C-F579AE3569C1}"/>
    <cellStyle name="Normal 5 2 2 2 2 4" xfId="717" xr:uid="{00000000-0005-0000-0000-0000C3010000}"/>
    <cellStyle name="Normal 5 2 2 2 2 4 2" xfId="2483" xr:uid="{789506B2-52C1-49F9-9775-70EF8C7B4FDA}"/>
    <cellStyle name="Normal 5 2 2 2 2 4 2 2" xfId="4918" xr:uid="{25132616-5660-4F87-9CFA-C785F7C6B280}"/>
    <cellStyle name="Normal 5 2 2 2 2 4 3" xfId="3650" xr:uid="{A865DAF0-520F-479B-88BE-23057AA4BBC3}"/>
    <cellStyle name="Normal 5 2 2 2 2 5" xfId="1455" xr:uid="{63AC2AE2-E42C-4DAB-A09E-6711B6615F81}"/>
    <cellStyle name="Normal 5 2 2 2 2 5 2" xfId="4048" xr:uid="{E68A12E5-574F-45B0-A044-ED4F17618C42}"/>
    <cellStyle name="Normal 5 2 2 2 2 6" xfId="3431" xr:uid="{9D3D9BF3-7A8A-4490-AA14-3026F4AC633E}"/>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2 2" xfId="5331" xr:uid="{1B0E69CB-C21C-42DC-9CA3-BC1D63635F67}"/>
    <cellStyle name="Normal 5 2 2 2 3 2 2 3" xfId="2058" xr:uid="{DEACB3E0-9634-482A-AF7B-C51926D36A7C}"/>
    <cellStyle name="Normal 5 2 2 2 3 2 2 3 2" xfId="4575" xr:uid="{58F59814-8424-423D-BAF2-5712CA83A18E}"/>
    <cellStyle name="Normal 5 2 2 2 3 2 2 4" xfId="3781" xr:uid="{FBF1CD49-4155-45A9-A5A6-9489AF58AE3D}"/>
    <cellStyle name="Normal 5 2 2 2 3 2 3" xfId="2486" xr:uid="{CFEF161E-9FE0-49C0-9167-5D529D218C4E}"/>
    <cellStyle name="Normal 5 2 2 2 3 2 3 2" xfId="4921" xr:uid="{3B06A147-3496-469E-A72A-67FFDFB0D65C}"/>
    <cellStyle name="Normal 5 2 2 2 3 2 4" xfId="1458" xr:uid="{EE2EEC5F-D162-4254-BA76-EF8DB7EEB619}"/>
    <cellStyle name="Normal 5 2 2 2 3 2 4 2" xfId="4051" xr:uid="{D1699A3E-230F-4973-911D-2B874D460FF9}"/>
    <cellStyle name="Normal 5 2 2 2 3 2 5" xfId="3572" xr:uid="{90238EAD-5EAD-491B-B323-4678CCC96BF5}"/>
    <cellStyle name="Normal 5 2 2 2 3 3" xfId="743" xr:uid="{00000000-0005-0000-0000-0000C7010000}"/>
    <cellStyle name="Normal 5 2 2 2 3 3 2" xfId="2726" xr:uid="{B82F4081-33CB-4FDF-B6C5-5A6E5CD3D714}"/>
    <cellStyle name="Normal 5 2 2 2 3 3 2 2" xfId="5161" xr:uid="{CC42FAAC-1DAC-48EF-952A-910D2FC5755F}"/>
    <cellStyle name="Normal 5 2 2 2 3 3 3" xfId="1888" xr:uid="{DBF11B20-66BB-43EA-923A-FE1F2F6CB409}"/>
    <cellStyle name="Normal 5 2 2 2 3 3 3 2" xfId="4405" xr:uid="{12230D17-3F9C-4D36-84DF-769D3E9BE415}"/>
    <cellStyle name="Normal 5 2 2 2 3 3 4" xfId="3676" xr:uid="{BAB7A0D7-3034-4DA7-ADA9-2FFA735C8B20}"/>
    <cellStyle name="Normal 5 2 2 2 3 4" xfId="2485" xr:uid="{9C9EE4C6-EA6A-42BD-A6BE-2FCD5C39F369}"/>
    <cellStyle name="Normal 5 2 2 2 3 4 2" xfId="4920" xr:uid="{00A65839-AC84-4A7C-A522-E398EDF65C38}"/>
    <cellStyle name="Normal 5 2 2 2 3 5" xfId="1457" xr:uid="{1AB55730-1E42-403B-84F2-4CE6AD2FF437}"/>
    <cellStyle name="Normal 5 2 2 2 3 5 2" xfId="4050" xr:uid="{79343096-ACF7-4977-8523-1D193E4600CB}"/>
    <cellStyle name="Normal 5 2 2 2 3 6" xfId="3462" xr:uid="{90E25793-11D8-4B4C-9194-4AFE4D0C871B}"/>
    <cellStyle name="Normal 5 2 2 2 4" xfId="586" xr:uid="{00000000-0005-0000-0000-0000C8010000}"/>
    <cellStyle name="Normal 5 2 2 2 4 2" xfId="797" xr:uid="{00000000-0005-0000-0000-0000C9010000}"/>
    <cellStyle name="Normal 5 2 2 2 4 2 2" xfId="2894" xr:uid="{8721304C-C15F-46F5-8634-0110A42D9BE6}"/>
    <cellStyle name="Normal 5 2 2 2 4 2 2 2" xfId="5329" xr:uid="{5D53B101-0374-4CF6-AB27-D84F8A5720E2}"/>
    <cellStyle name="Normal 5 2 2 2 4 2 3" xfId="2056" xr:uid="{A36E88A1-E9CB-44FA-BDAE-1B1978155031}"/>
    <cellStyle name="Normal 5 2 2 2 4 2 3 2" xfId="4573" xr:uid="{469CC77D-5BD6-4DB6-8AA3-65F7119EF7B5}"/>
    <cellStyle name="Normal 5 2 2 2 4 2 4" xfId="3729" xr:uid="{60CDB703-2BC2-49AA-888D-8756D22DDC48}"/>
    <cellStyle name="Normal 5 2 2 2 4 3" xfId="2487" xr:uid="{2F7BBA1E-0AB5-4668-B292-F68A8FAE0D7B}"/>
    <cellStyle name="Normal 5 2 2 2 4 3 2" xfId="4922" xr:uid="{EBC477ED-7397-4F73-9418-17C7E8478D3D}"/>
    <cellStyle name="Normal 5 2 2 2 4 4" xfId="1459" xr:uid="{80C1D847-F105-49C0-BA8B-657ED51C3749}"/>
    <cellStyle name="Normal 5 2 2 2 4 4 2" xfId="4052" xr:uid="{29E4B5C3-05C5-4052-8B90-8A9A59FE8EB6}"/>
    <cellStyle name="Normal 5 2 2 2 4 5" xfId="3520" xr:uid="{4520C424-7DFB-49F3-8451-E121F4B3D64B}"/>
    <cellStyle name="Normal 5 2 2 2 5" xfId="691" xr:uid="{00000000-0005-0000-0000-0000CA010000}"/>
    <cellStyle name="Normal 5 2 2 2 5 2" xfId="2724" xr:uid="{9C6486A8-FD0D-466C-A810-27D0C5EC064A}"/>
    <cellStyle name="Normal 5 2 2 2 5 2 2" xfId="5159" xr:uid="{7CA9D2BC-9587-4FC7-9A52-A3F0DDE5832A}"/>
    <cellStyle name="Normal 5 2 2 2 5 3" xfId="1886" xr:uid="{0C098C09-004B-419C-B53D-AA179EDE2FE0}"/>
    <cellStyle name="Normal 5 2 2 2 5 3 2" xfId="4403" xr:uid="{65248DC2-3A47-4852-ADE0-43D0781278D2}"/>
    <cellStyle name="Normal 5 2 2 2 5 4" xfId="3624" xr:uid="{A2E2E20E-C58A-4ED9-8F4F-761D2342AFCD}"/>
    <cellStyle name="Normal 5 2 2 2 6" xfId="2482" xr:uid="{6A5F0431-D6B8-4361-AC16-4E0E19434E81}"/>
    <cellStyle name="Normal 5 2 2 2 6 2" xfId="4917" xr:uid="{CE3D85D0-9861-41CB-9DE5-57F63FD37D29}"/>
    <cellStyle name="Normal 5 2 2 2 7" xfId="1454" xr:uid="{716D35EE-6F6E-4F2A-8711-9B21DE7CEA3D}"/>
    <cellStyle name="Normal 5 2 2 2 7 2" xfId="4047" xr:uid="{8436EEED-4B50-47AB-931D-789BCA3B26A6}"/>
    <cellStyle name="Normal 5 2 2 2 8" xfId="3400" xr:uid="{117AD9E3-7B9A-4025-9907-D715521E1E2A}"/>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2 2" xfId="3816" xr:uid="{D3CED024-50D6-43B5-BAC8-86F59B5E8700}"/>
    <cellStyle name="Normal 5 2 2 3 2 2 2 3" xfId="2897" xr:uid="{FD99C5EC-B4FD-4E60-82F5-B14BFFBA1920}"/>
    <cellStyle name="Normal 5 2 2 3 2 2 2 3 2" xfId="5332" xr:uid="{E2895CA9-09D2-404C-AAC2-7038C9B5EE77}"/>
    <cellStyle name="Normal 5 2 2 3 2 2 2 4" xfId="3607" xr:uid="{6E0E5B58-79F3-493C-84A0-58D869FDA727}"/>
    <cellStyle name="Normal 5 2 2 3 2 2 3" xfId="778" xr:uid="{00000000-0005-0000-0000-0000D0010000}"/>
    <cellStyle name="Normal 5 2 2 3 2 2 3 2" xfId="3711" xr:uid="{85CE1A1F-8F38-423A-B6E0-B425548F6CD2}"/>
    <cellStyle name="Normal 5 2 2 3 2 2 4" xfId="2059" xr:uid="{C639309B-B139-4ABB-8EA4-B9A48EBB2EEC}"/>
    <cellStyle name="Normal 5 2 2 3 2 2 4 2" xfId="4576" xr:uid="{9B57CDAE-1CB7-4A24-81D5-6EB47608003B}"/>
    <cellStyle name="Normal 5 2 2 3 2 2 5" xfId="3497" xr:uid="{D87EB986-41B4-4739-B715-160210582542}"/>
    <cellStyle name="Normal 5 2 2 3 2 3" xfId="621" xr:uid="{00000000-0005-0000-0000-0000D1010000}"/>
    <cellStyle name="Normal 5 2 2 3 2 3 2" xfId="832" xr:uid="{00000000-0005-0000-0000-0000D2010000}"/>
    <cellStyle name="Normal 5 2 2 3 2 3 2 2" xfId="3764" xr:uid="{BE30B3DF-2D08-4DA9-BC3A-0B7155040515}"/>
    <cellStyle name="Normal 5 2 2 3 2 3 3" xfId="2489" xr:uid="{9CFC7D29-396E-41FD-B4EE-1A0F7DD76644}"/>
    <cellStyle name="Normal 5 2 2 3 2 3 3 2" xfId="4924" xr:uid="{9113A60B-5656-40A7-808B-6278FA7899F7}"/>
    <cellStyle name="Normal 5 2 2 3 2 3 4" xfId="3555" xr:uid="{942D044B-0B1B-480C-83BC-0CCDC90B1296}"/>
    <cellStyle name="Normal 5 2 2 3 2 4" xfId="726" xr:uid="{00000000-0005-0000-0000-0000D3010000}"/>
    <cellStyle name="Normal 5 2 2 3 2 4 2" xfId="3659" xr:uid="{E22746E2-50F2-4C67-BE04-8E2DFD877A4A}"/>
    <cellStyle name="Normal 5 2 2 3 2 5" xfId="1461" xr:uid="{8C7F834B-B769-43A6-B67B-4DB9B911AB61}"/>
    <cellStyle name="Normal 5 2 2 3 2 5 2" xfId="4054" xr:uid="{F9324A4D-8C26-434A-A0FB-008FADB9D294}"/>
    <cellStyle name="Normal 5 2 2 3 2 6" xfId="3440" xr:uid="{B547A23C-8EDA-4BBF-B35E-C58B3250BDE8}"/>
    <cellStyle name="Normal 5 2 2 3 3" xfId="491" xr:uid="{00000000-0005-0000-0000-0000D4010000}"/>
    <cellStyle name="Normal 5 2 2 3 3 2" xfId="647" xr:uid="{00000000-0005-0000-0000-0000D5010000}"/>
    <cellStyle name="Normal 5 2 2 3 3 2 2" xfId="858" xr:uid="{00000000-0005-0000-0000-0000D6010000}"/>
    <cellStyle name="Normal 5 2 2 3 3 2 2 2" xfId="3790" xr:uid="{521FDC9B-04BE-4121-AFE2-63343361177C}"/>
    <cellStyle name="Normal 5 2 2 3 3 2 3" xfId="2727" xr:uid="{19CDFF11-7329-4AA1-9CBD-D750DB859E14}"/>
    <cellStyle name="Normal 5 2 2 3 3 2 3 2" xfId="5162" xr:uid="{36BD0FFF-4ED9-4DE8-B6CC-9180D4EC531E}"/>
    <cellStyle name="Normal 5 2 2 3 3 2 4" xfId="3581" xr:uid="{80EC74A9-A969-46E9-B087-72D678859F5F}"/>
    <cellStyle name="Normal 5 2 2 3 3 3" xfId="752" xr:uid="{00000000-0005-0000-0000-0000D7010000}"/>
    <cellStyle name="Normal 5 2 2 3 3 3 2" xfId="3685" xr:uid="{18755D40-EDC4-4C63-8F1C-64B2B5B79954}"/>
    <cellStyle name="Normal 5 2 2 3 3 4" xfId="1889" xr:uid="{8E38AF2D-15BE-4F4A-AD05-A70A49C70939}"/>
    <cellStyle name="Normal 5 2 2 3 3 4 2" xfId="4406" xr:uid="{C09C4194-CD3F-489A-A6CD-1B94C2EA2EF9}"/>
    <cellStyle name="Normal 5 2 2 3 3 5" xfId="3471" xr:uid="{7B36600F-49C3-4DCB-8627-0ECD2303CD0C}"/>
    <cellStyle name="Normal 5 2 2 3 4" xfId="595" xr:uid="{00000000-0005-0000-0000-0000D8010000}"/>
    <cellStyle name="Normal 5 2 2 3 4 2" xfId="806" xr:uid="{00000000-0005-0000-0000-0000D9010000}"/>
    <cellStyle name="Normal 5 2 2 3 4 2 2" xfId="3738" xr:uid="{0B43E596-105C-4AFB-92C4-284470C43713}"/>
    <cellStyle name="Normal 5 2 2 3 4 3" xfId="2488" xr:uid="{E0152DFB-6ECB-4ECA-85F6-5345BDB0D48F}"/>
    <cellStyle name="Normal 5 2 2 3 4 3 2" xfId="4923" xr:uid="{EB4E49FC-5CF7-491B-A1F9-0829F3683809}"/>
    <cellStyle name="Normal 5 2 2 3 4 4" xfId="3529" xr:uid="{6897B63D-8E8C-450F-827D-CF30492558F0}"/>
    <cellStyle name="Normal 5 2 2 3 5" xfId="700" xr:uid="{00000000-0005-0000-0000-0000DA010000}"/>
    <cellStyle name="Normal 5 2 2 3 5 2" xfId="3633" xr:uid="{D4B63850-C3DE-428D-9F43-1C17BBD0CCB4}"/>
    <cellStyle name="Normal 5 2 2 3 6" xfId="1460" xr:uid="{CE596074-7EF5-49B9-96D2-20D4AD617E7F}"/>
    <cellStyle name="Normal 5 2 2 3 6 2" xfId="4053" xr:uid="{79A55C5F-B415-43C1-B9F0-DFC331902371}"/>
    <cellStyle name="Normal 5 2 2 3 7" xfId="3409" xr:uid="{03644E33-BEBC-4FF4-9243-9D824235F204}"/>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2 2 2" xfId="5333" xr:uid="{38B55BFB-FFF0-449A-8DD0-20845E3CF96B}"/>
    <cellStyle name="Normal 5 2 2 4 2 2 2 3" xfId="3799" xr:uid="{235E3133-FAC2-42FF-810D-457D0E925FF2}"/>
    <cellStyle name="Normal 5 2 2 4 2 2 3" xfId="2060" xr:uid="{A613A8DD-12E4-4476-9BC8-68B3598AEBFD}"/>
    <cellStyle name="Normal 5 2 2 4 2 2 3 2" xfId="4577" xr:uid="{864C769A-8AEB-42BE-90B4-ACC779A31E49}"/>
    <cellStyle name="Normal 5 2 2 4 2 2 4" xfId="3590" xr:uid="{3332B737-AD15-4BEA-8986-D6868AFF7321}"/>
    <cellStyle name="Normal 5 2 2 4 2 3" xfId="761" xr:uid="{00000000-0005-0000-0000-0000DF010000}"/>
    <cellStyle name="Normal 5 2 2 4 2 3 2" xfId="2491" xr:uid="{EC29C2D2-F545-47EB-8F97-24FBB613D7EB}"/>
    <cellStyle name="Normal 5 2 2 4 2 3 2 2" xfId="4926" xr:uid="{9E89E6E8-4324-4CB4-8362-83B7CC755667}"/>
    <cellStyle name="Normal 5 2 2 4 2 3 3" xfId="3694" xr:uid="{0B75829B-6B3A-463C-B1E7-5B27A2A95D3D}"/>
    <cellStyle name="Normal 5 2 2 4 2 4" xfId="1463" xr:uid="{55773854-0F61-4763-8936-45520294D14C}"/>
    <cellStyle name="Normal 5 2 2 4 2 4 2" xfId="4056" xr:uid="{6AE5FB35-B317-4145-B67E-A4460781AB08}"/>
    <cellStyle name="Normal 5 2 2 4 2 5" xfId="3480" xr:uid="{FE936D7E-2A95-4195-8A61-B2CB66651FB2}"/>
    <cellStyle name="Normal 5 2 2 4 3" xfId="604" xr:uid="{00000000-0005-0000-0000-0000E0010000}"/>
    <cellStyle name="Normal 5 2 2 4 3 2" xfId="815" xr:uid="{00000000-0005-0000-0000-0000E1010000}"/>
    <cellStyle name="Normal 5 2 2 4 3 2 2" xfId="2728" xr:uid="{D873E091-CA3D-4277-9DD5-8510F3F3B477}"/>
    <cellStyle name="Normal 5 2 2 4 3 2 2 2" xfId="5163" xr:uid="{A2AE0BD9-0C70-48B7-9687-28026C340D9D}"/>
    <cellStyle name="Normal 5 2 2 4 3 2 3" xfId="3747" xr:uid="{CF97BED2-CD09-42FB-90C3-7DF613BD86F3}"/>
    <cellStyle name="Normal 5 2 2 4 3 3" xfId="1890" xr:uid="{14B122AF-6F28-430B-B68F-4A9C0B1D9364}"/>
    <cellStyle name="Normal 5 2 2 4 3 3 2" xfId="4407" xr:uid="{9A45687B-C70F-4910-ACFE-2F91344D62FC}"/>
    <cellStyle name="Normal 5 2 2 4 3 4" xfId="3538" xr:uid="{C057A4E5-636A-42D7-AD83-6DA21C8439C9}"/>
    <cellStyle name="Normal 5 2 2 4 4" xfId="709" xr:uid="{00000000-0005-0000-0000-0000E2010000}"/>
    <cellStyle name="Normal 5 2 2 4 4 2" xfId="2490" xr:uid="{DBAE2489-BA0B-4A10-B155-43E4BFF94EB8}"/>
    <cellStyle name="Normal 5 2 2 4 4 2 2" xfId="4925" xr:uid="{C6F847A3-E0E6-4932-B678-04A0A07A8378}"/>
    <cellStyle name="Normal 5 2 2 4 4 3" xfId="3642" xr:uid="{28C24A7C-4194-4165-BEDC-E1969F90051B}"/>
    <cellStyle name="Normal 5 2 2 4 5" xfId="1462" xr:uid="{53C56C6B-3807-42CD-AEE7-ED48643937CE}"/>
    <cellStyle name="Normal 5 2 2 4 5 2" xfId="4055" xr:uid="{8F40AA86-ADF7-45E5-8624-D3EFA5EAB17E}"/>
    <cellStyle name="Normal 5 2 2 4 6" xfId="3423" xr:uid="{45E9B84F-3AFA-4B9E-9C3F-9A2407635CAD}"/>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2 2 2" xfId="5328" xr:uid="{E2A5D8E5-4C4E-48AA-B99D-2333EE3DA40E}"/>
    <cellStyle name="Normal 5 2 2 5 2 2 3" xfId="3773" xr:uid="{C2307E29-ECC0-4E3F-B94C-9603A4933EAB}"/>
    <cellStyle name="Normal 5 2 2 5 2 3" xfId="2055" xr:uid="{98CFCF67-5644-4BA8-A8F8-8598294E4793}"/>
    <cellStyle name="Normal 5 2 2 5 2 3 2" xfId="4572" xr:uid="{434E401A-1EAE-45AA-9D1A-325DFC193911}"/>
    <cellStyle name="Normal 5 2 2 5 2 4" xfId="3564" xr:uid="{B1B03B6B-DC4B-4666-B481-05B419AA58A9}"/>
    <cellStyle name="Normal 5 2 2 5 3" xfId="735" xr:uid="{00000000-0005-0000-0000-0000E6010000}"/>
    <cellStyle name="Normal 5 2 2 5 3 2" xfId="2492" xr:uid="{55BCA6B3-668C-4329-9ADF-75153BD35FF5}"/>
    <cellStyle name="Normal 5 2 2 5 3 2 2" xfId="4927" xr:uid="{B2E617E2-6180-419C-B88B-BFB34B2CCCAF}"/>
    <cellStyle name="Normal 5 2 2 5 3 3" xfId="3668" xr:uid="{2D4BD89F-9AD9-4C7A-8C87-9B0D9729FE4E}"/>
    <cellStyle name="Normal 5 2 2 5 4" xfId="1464" xr:uid="{A943F9D7-3D30-4727-9D44-FCF0EC3B98DB}"/>
    <cellStyle name="Normal 5 2 2 5 4 2" xfId="4057" xr:uid="{8350EE27-C2CC-4F9A-8713-E37D5875CE53}"/>
    <cellStyle name="Normal 5 2 2 5 5" xfId="3454" xr:uid="{3A8CBA75-CF47-41AD-9277-6FCD93EC0562}"/>
    <cellStyle name="Normal 5 2 2 6" xfId="578" xr:uid="{00000000-0005-0000-0000-0000E7010000}"/>
    <cellStyle name="Normal 5 2 2 6 2" xfId="789" xr:uid="{00000000-0005-0000-0000-0000E8010000}"/>
    <cellStyle name="Normal 5 2 2 6 2 2" xfId="2723" xr:uid="{76F91FA2-98DD-4FC3-97C5-CFD981FFA9C0}"/>
    <cellStyle name="Normal 5 2 2 6 2 2 2" xfId="5158" xr:uid="{D6CD9AD9-4FD4-485D-B96E-84E8A30BCC67}"/>
    <cellStyle name="Normal 5 2 2 6 2 3" xfId="3721" xr:uid="{F57D9C80-4B6E-452E-8866-27DD34928E59}"/>
    <cellStyle name="Normal 5 2 2 6 3" xfId="1885" xr:uid="{19BF3FEB-DC84-4FEA-8C73-22B10A623EDD}"/>
    <cellStyle name="Normal 5 2 2 6 3 2" xfId="4402" xr:uid="{D9B79410-A5A5-4503-B186-3E7130410C81}"/>
    <cellStyle name="Normal 5 2 2 6 4" xfId="3512" xr:uid="{C1F5853A-1449-4B2E-B833-FB64DF28023F}"/>
    <cellStyle name="Normal 5 2 2 7" xfId="683" xr:uid="{00000000-0005-0000-0000-0000E9010000}"/>
    <cellStyle name="Normal 5 2 2 7 2" xfId="2481" xr:uid="{E4E7EE13-FDF7-4EF5-ABD8-C1FCB2D1DA56}"/>
    <cellStyle name="Normal 5 2 2 7 2 2" xfId="4916" xr:uid="{5BD57E08-F7FF-4530-A5A1-7EB725998F20}"/>
    <cellStyle name="Normal 5 2 2 7 3" xfId="3616" xr:uid="{33431643-6972-4F48-961B-9348212E470A}"/>
    <cellStyle name="Normal 5 2 2 8" xfId="1453" xr:uid="{D632EE85-A0F2-491A-9672-464194DBAD3C}"/>
    <cellStyle name="Normal 5 2 2 8 2" xfId="4046" xr:uid="{521051B5-5196-44C0-A851-8CA15F2E7D45}"/>
    <cellStyle name="Normal 5 2 2 9" xfId="3387" xr:uid="{18DFE633-B5A8-49AC-B34A-94DFDC79E4D7}"/>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2 2 2" xfId="5335" xr:uid="{889AD993-88F6-4BBA-8069-48BC1FC9FFB3}"/>
    <cellStyle name="Normal 5 2 3 2 2 2 2 3" xfId="3803" xr:uid="{05BA25BB-D7D0-45DA-BCC4-13F234F25424}"/>
    <cellStyle name="Normal 5 2 3 2 2 2 3" xfId="2062" xr:uid="{6FAB7188-BD75-4E34-97F6-3FB67777CEA6}"/>
    <cellStyle name="Normal 5 2 3 2 2 2 3 2" xfId="4579" xr:uid="{A657C329-0102-4130-BE85-CF72560D9AEF}"/>
    <cellStyle name="Normal 5 2 3 2 2 2 4" xfId="3594" xr:uid="{F3CB0565-5629-4DFF-B818-C135B7196CA9}"/>
    <cellStyle name="Normal 5 2 3 2 2 3" xfId="765" xr:uid="{00000000-0005-0000-0000-0000EF010000}"/>
    <cellStyle name="Normal 5 2 3 2 2 3 2" xfId="2495" xr:uid="{0FAEE644-D693-428C-9BA0-4534B89238E3}"/>
    <cellStyle name="Normal 5 2 3 2 2 3 2 2" xfId="4930" xr:uid="{4AE10F76-4C4B-4DA8-9E2B-54D3895A3696}"/>
    <cellStyle name="Normal 5 2 3 2 2 3 3" xfId="3698" xr:uid="{88BCA0B0-5009-46E3-B547-AECD987867CC}"/>
    <cellStyle name="Normal 5 2 3 2 2 4" xfId="1467" xr:uid="{B7B1353A-80DD-4D43-98C9-6241D417B739}"/>
    <cellStyle name="Normal 5 2 3 2 2 4 2" xfId="4060" xr:uid="{13836D6E-AA2D-4844-8CDA-3962FC48B98F}"/>
    <cellStyle name="Normal 5 2 3 2 2 5" xfId="3484" xr:uid="{0286ADA9-D739-451A-9F11-AD23CF8521F6}"/>
    <cellStyle name="Normal 5 2 3 2 3" xfId="608" xr:uid="{00000000-0005-0000-0000-0000F0010000}"/>
    <cellStyle name="Normal 5 2 3 2 3 2" xfId="819" xr:uid="{00000000-0005-0000-0000-0000F1010000}"/>
    <cellStyle name="Normal 5 2 3 2 3 2 2" xfId="2730" xr:uid="{BAB908B1-CDCC-49B3-BAF7-7B1ADC3E19BC}"/>
    <cellStyle name="Normal 5 2 3 2 3 2 2 2" xfId="5165" xr:uid="{2E7A7FC9-0533-4457-AD7E-83C8C6CA032D}"/>
    <cellStyle name="Normal 5 2 3 2 3 2 3" xfId="3751" xr:uid="{71C1D3CA-D3F2-4D5D-A63D-0CAE35924B52}"/>
    <cellStyle name="Normal 5 2 3 2 3 3" xfId="1892" xr:uid="{B14FE6C6-813E-4DC4-9C17-C4D58B062315}"/>
    <cellStyle name="Normal 5 2 3 2 3 3 2" xfId="4409" xr:uid="{4A179152-1D7B-4D3E-B2EB-B58706DF4934}"/>
    <cellStyle name="Normal 5 2 3 2 3 4" xfId="3542" xr:uid="{546888E1-68BA-435D-8AA6-41DEEF057504}"/>
    <cellStyle name="Normal 5 2 3 2 4" xfId="713" xr:uid="{00000000-0005-0000-0000-0000F2010000}"/>
    <cellStyle name="Normal 5 2 3 2 4 2" xfId="2494" xr:uid="{2C7A1866-8A2E-4010-92C7-C0C7DE1E0A24}"/>
    <cellStyle name="Normal 5 2 3 2 4 2 2" xfId="4929" xr:uid="{1DFC547E-A69E-4F72-8D5E-F01879E9D619}"/>
    <cellStyle name="Normal 5 2 3 2 4 3" xfId="3646" xr:uid="{DB379001-622B-49F3-8659-63F8E84CDED7}"/>
    <cellStyle name="Normal 5 2 3 2 5" xfId="1466" xr:uid="{E1AFF7B3-330F-4BD8-B052-8C10BD2386AB}"/>
    <cellStyle name="Normal 5 2 3 2 5 2" xfId="4059" xr:uid="{6151294C-CE9B-4AA2-BA4C-F4A74A8813C4}"/>
    <cellStyle name="Normal 5 2 3 2 6" xfId="3427" xr:uid="{8A75F5A2-ED49-4AA3-8D6A-6DBAA25B11AF}"/>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2 2" xfId="5336" xr:uid="{1CC8F9A2-7A0D-4A12-B6CB-1BF35B1DF7FD}"/>
    <cellStyle name="Normal 5 2 3 3 2 2 3" xfId="2063" xr:uid="{12385839-BA24-4D08-81E4-A783971D5A87}"/>
    <cellStyle name="Normal 5 2 3 3 2 2 3 2" xfId="4580" xr:uid="{142BA18F-EC50-4C9E-B03D-95886FF80E4A}"/>
    <cellStyle name="Normal 5 2 3 3 2 2 4" xfId="3777" xr:uid="{CCA254A9-BCCA-486D-850C-6BA9A23AE2E0}"/>
    <cellStyle name="Normal 5 2 3 3 2 3" xfId="2497" xr:uid="{551F0BFE-190C-494C-B003-793F511C8BF2}"/>
    <cellStyle name="Normal 5 2 3 3 2 3 2" xfId="4932" xr:uid="{F6675142-69D1-42CF-8225-18223940CC22}"/>
    <cellStyle name="Normal 5 2 3 3 2 4" xfId="1469" xr:uid="{01B1780D-BDE4-4010-B61A-A998E93BBD32}"/>
    <cellStyle name="Normal 5 2 3 3 2 4 2" xfId="4062" xr:uid="{E542358A-349C-4D4F-BDF3-A00564211FD5}"/>
    <cellStyle name="Normal 5 2 3 3 2 5" xfId="3568" xr:uid="{A1400ACD-2C06-4C15-B43F-AAC9B324DA36}"/>
    <cellStyle name="Normal 5 2 3 3 3" xfId="739" xr:uid="{00000000-0005-0000-0000-0000F6010000}"/>
    <cellStyle name="Normal 5 2 3 3 3 2" xfId="2731" xr:uid="{79BA05C8-F209-4AB1-9CE1-D7B73E0290BC}"/>
    <cellStyle name="Normal 5 2 3 3 3 2 2" xfId="5166" xr:uid="{6307B17D-38ED-4C25-9682-944ACCF380DA}"/>
    <cellStyle name="Normal 5 2 3 3 3 3" xfId="1893" xr:uid="{7960F10D-F398-4F4D-A231-37B96929C42D}"/>
    <cellStyle name="Normal 5 2 3 3 3 3 2" xfId="4410" xr:uid="{BED82D36-EF01-486F-93F7-005302E11F00}"/>
    <cellStyle name="Normal 5 2 3 3 3 4" xfId="3672" xr:uid="{E9E7FDFE-FDC0-434D-9356-713E4F785E2E}"/>
    <cellStyle name="Normal 5 2 3 3 4" xfId="2496" xr:uid="{7FF56824-2E0C-4D6E-9A1F-DFC1080BF221}"/>
    <cellStyle name="Normal 5 2 3 3 4 2" xfId="4931" xr:uid="{D5A19FE6-671C-4909-B6CC-CD6577C8C729}"/>
    <cellStyle name="Normal 5 2 3 3 5" xfId="1468" xr:uid="{02BBD94B-7AF1-45F0-AD4E-70C9E3534BEA}"/>
    <cellStyle name="Normal 5 2 3 3 5 2" xfId="4061" xr:uid="{1782C697-CC19-4CE8-BD63-2899EDC0D8FA}"/>
    <cellStyle name="Normal 5 2 3 3 6" xfId="3458" xr:uid="{2402612A-BB92-46F8-B465-5A59A7F04F92}"/>
    <cellStyle name="Normal 5 2 3 4" xfId="582" xr:uid="{00000000-0005-0000-0000-0000F7010000}"/>
    <cellStyle name="Normal 5 2 3 4 2" xfId="793" xr:uid="{00000000-0005-0000-0000-0000F8010000}"/>
    <cellStyle name="Normal 5 2 3 4 2 2" xfId="2899" xr:uid="{ADE22372-0038-40A4-895E-F773DB310D85}"/>
    <cellStyle name="Normal 5 2 3 4 2 2 2" xfId="5334" xr:uid="{A831D065-2819-4B56-A55F-4E2C3B4D5B1B}"/>
    <cellStyle name="Normal 5 2 3 4 2 3" xfId="2061" xr:uid="{AE2DB97C-9F42-49C0-9EDF-8F8A786DDEC2}"/>
    <cellStyle name="Normal 5 2 3 4 2 3 2" xfId="4578" xr:uid="{7AA973A0-516B-4FC3-94DF-3214152AB7FB}"/>
    <cellStyle name="Normal 5 2 3 4 2 4" xfId="3725" xr:uid="{602BC9A0-5F24-4D27-8CA5-5103DA0FD5A1}"/>
    <cellStyle name="Normal 5 2 3 4 3" xfId="2498" xr:uid="{A926BB4D-B9D2-4C47-85B9-583224976F78}"/>
    <cellStyle name="Normal 5 2 3 4 3 2" xfId="4933" xr:uid="{A379A5BB-5A7E-422B-8BC3-977322D59C0D}"/>
    <cellStyle name="Normal 5 2 3 4 4" xfId="1470" xr:uid="{B538ECAA-5D7A-4AC0-9F26-E8D339DDD947}"/>
    <cellStyle name="Normal 5 2 3 4 4 2" xfId="4063" xr:uid="{595717E1-6D4E-4DA7-8DEA-B64189D05BDB}"/>
    <cellStyle name="Normal 5 2 3 4 5" xfId="3516" xr:uid="{04ABB4C8-A48A-4E6D-962C-958B8563AD14}"/>
    <cellStyle name="Normal 5 2 3 5" xfId="687" xr:uid="{00000000-0005-0000-0000-0000F9010000}"/>
    <cellStyle name="Normal 5 2 3 5 2" xfId="2729" xr:uid="{EAB7323E-7677-4D52-8D89-04DCDC32452A}"/>
    <cellStyle name="Normal 5 2 3 5 2 2" xfId="5164" xr:uid="{EF1E7CAD-8F8A-4A0E-A64E-B99BA2C0F88B}"/>
    <cellStyle name="Normal 5 2 3 5 3" xfId="1891" xr:uid="{9FEE6AA4-4934-498C-8DCB-D3192BCAE884}"/>
    <cellStyle name="Normal 5 2 3 5 3 2" xfId="4408" xr:uid="{23CF5A32-3768-45ED-AB92-29DF5060FD72}"/>
    <cellStyle name="Normal 5 2 3 5 4" xfId="3620" xr:uid="{21BE1BEE-278C-4A3B-8A82-E5C144C89FC8}"/>
    <cellStyle name="Normal 5 2 3 6" xfId="2493" xr:uid="{105B711D-991E-4290-9586-1764A7F6CC66}"/>
    <cellStyle name="Normal 5 2 3 6 2" xfId="4928" xr:uid="{DAA1355B-9049-4955-B915-E71066D54479}"/>
    <cellStyle name="Normal 5 2 3 7" xfId="1465" xr:uid="{27DE05A7-9A5F-4965-9ED5-00387DE8D8ED}"/>
    <cellStyle name="Normal 5 2 3 7 2" xfId="4058" xr:uid="{FC1D4EE4-10C8-42C4-9D78-30AAFBDA88B7}"/>
    <cellStyle name="Normal 5 2 3 8" xfId="3396" xr:uid="{0EDAAF67-EF9C-46DC-AB8F-40F37454E545}"/>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2 2" xfId="3812" xr:uid="{8B092008-F6FE-47E8-93CC-A3D8FC9E35B7}"/>
    <cellStyle name="Normal 5 2 4 2 2 2 3" xfId="2902" xr:uid="{F4BEC291-21C4-494A-BE59-8D0FA94FCC46}"/>
    <cellStyle name="Normal 5 2 4 2 2 2 3 2" xfId="5337" xr:uid="{A0A4265C-4BD5-4B8E-827C-E3103959052D}"/>
    <cellStyle name="Normal 5 2 4 2 2 2 4" xfId="3603" xr:uid="{D524336F-41DD-4344-A528-7CE593C1B3DF}"/>
    <cellStyle name="Normal 5 2 4 2 2 3" xfId="774" xr:uid="{00000000-0005-0000-0000-0000FF010000}"/>
    <cellStyle name="Normal 5 2 4 2 2 3 2" xfId="3707" xr:uid="{10DEEE57-A258-41CE-964A-48755EF8F25E}"/>
    <cellStyle name="Normal 5 2 4 2 2 4" xfId="2064" xr:uid="{7040AC77-29E5-423C-9DD2-40D38B367B5D}"/>
    <cellStyle name="Normal 5 2 4 2 2 4 2" xfId="4581" xr:uid="{C7364F5C-3F10-48EA-A272-BD0AA7BC3BC2}"/>
    <cellStyle name="Normal 5 2 4 2 2 5" xfId="3493" xr:uid="{143253EE-6EB4-4FC3-90EA-AE4FCC090FD8}"/>
    <cellStyle name="Normal 5 2 4 2 3" xfId="617" xr:uid="{00000000-0005-0000-0000-000000020000}"/>
    <cellStyle name="Normal 5 2 4 2 3 2" xfId="828" xr:uid="{00000000-0005-0000-0000-000001020000}"/>
    <cellStyle name="Normal 5 2 4 2 3 2 2" xfId="3760" xr:uid="{43D6B695-E30F-43B1-AC61-EE7A7C62B703}"/>
    <cellStyle name="Normal 5 2 4 2 3 3" xfId="2500" xr:uid="{378D6134-7E7D-4CEE-B7AD-FCD4B9ABBFD1}"/>
    <cellStyle name="Normal 5 2 4 2 3 3 2" xfId="4935" xr:uid="{87915DBE-713E-4BB8-88BC-FCEC0DA36F8A}"/>
    <cellStyle name="Normal 5 2 4 2 3 4" xfId="3551" xr:uid="{DCE2DE9A-3ACE-4E1C-A76D-353AB8C752B3}"/>
    <cellStyle name="Normal 5 2 4 2 4" xfId="722" xr:uid="{00000000-0005-0000-0000-000002020000}"/>
    <cellStyle name="Normal 5 2 4 2 4 2" xfId="3655" xr:uid="{0B550CF1-7FBC-4BF9-9E1C-CF68A99B012D}"/>
    <cellStyle name="Normal 5 2 4 2 5" xfId="1472" xr:uid="{530D4D26-EA88-4A82-8E36-C59BD14D4728}"/>
    <cellStyle name="Normal 5 2 4 2 5 2" xfId="4065" xr:uid="{D1296095-D805-490E-845B-371A065B3DC3}"/>
    <cellStyle name="Normal 5 2 4 2 6" xfId="3436" xr:uid="{18F54DA3-CBEA-4742-AA8A-A271B2C2FE29}"/>
    <cellStyle name="Normal 5 2 4 3" xfId="487" xr:uid="{00000000-0005-0000-0000-000003020000}"/>
    <cellStyle name="Normal 5 2 4 3 2" xfId="643" xr:uid="{00000000-0005-0000-0000-000004020000}"/>
    <cellStyle name="Normal 5 2 4 3 2 2" xfId="854" xr:uid="{00000000-0005-0000-0000-000005020000}"/>
    <cellStyle name="Normal 5 2 4 3 2 2 2" xfId="3786" xr:uid="{DA1A11C7-5DFE-49AB-AE72-B72036D6479D}"/>
    <cellStyle name="Normal 5 2 4 3 2 3" xfId="2732" xr:uid="{1B91A9A9-DD9D-47FF-8AA6-FBD83B801D17}"/>
    <cellStyle name="Normal 5 2 4 3 2 3 2" xfId="5167" xr:uid="{D08967A9-7623-4A4E-B6E9-118DB8F704DE}"/>
    <cellStyle name="Normal 5 2 4 3 2 4" xfId="3577" xr:uid="{C6D2BA8E-D3AD-49B3-95A3-BAA6A9495D3B}"/>
    <cellStyle name="Normal 5 2 4 3 3" xfId="748" xr:uid="{00000000-0005-0000-0000-000006020000}"/>
    <cellStyle name="Normal 5 2 4 3 3 2" xfId="3681" xr:uid="{32A2DD2D-DBA6-40BE-9A97-5B2C9354C100}"/>
    <cellStyle name="Normal 5 2 4 3 4" xfId="1894" xr:uid="{5075E8A1-04D4-41A5-92C8-FD152B4753FD}"/>
    <cellStyle name="Normal 5 2 4 3 4 2" xfId="4411" xr:uid="{CF3BF717-2E79-4072-8E18-CC3F6913CAD3}"/>
    <cellStyle name="Normal 5 2 4 3 5" xfId="3467" xr:uid="{93D3A17F-658E-44FD-9C84-C598AA71C30C}"/>
    <cellStyle name="Normal 5 2 4 4" xfId="591" xr:uid="{00000000-0005-0000-0000-000007020000}"/>
    <cellStyle name="Normal 5 2 4 4 2" xfId="802" xr:uid="{00000000-0005-0000-0000-000008020000}"/>
    <cellStyle name="Normal 5 2 4 4 2 2" xfId="3734" xr:uid="{D6314E6E-F039-4D68-A06B-4554DD91EC9E}"/>
    <cellStyle name="Normal 5 2 4 4 3" xfId="2499" xr:uid="{7905445C-7173-4222-940D-491365CEC5CC}"/>
    <cellStyle name="Normal 5 2 4 4 3 2" xfId="4934" xr:uid="{CB8E4F3F-4F3B-48FF-BB78-9D1AC81450EF}"/>
    <cellStyle name="Normal 5 2 4 4 4" xfId="3525" xr:uid="{DD72CDB2-48E0-47C3-9578-DF49D86A0975}"/>
    <cellStyle name="Normal 5 2 4 5" xfId="696" xr:uid="{00000000-0005-0000-0000-000009020000}"/>
    <cellStyle name="Normal 5 2 4 5 2" xfId="3629" xr:uid="{7F7E1832-561D-4DC8-BA12-192C2B669B94}"/>
    <cellStyle name="Normal 5 2 4 6" xfId="1471" xr:uid="{6F816BAF-DC2A-485A-8CE9-011043090C91}"/>
    <cellStyle name="Normal 5 2 4 6 2" xfId="4064" xr:uid="{E198249C-76FA-495E-9B14-A0C958B7F827}"/>
    <cellStyle name="Normal 5 2 4 7" xfId="3405" xr:uid="{39D04D92-5762-438F-A5AF-82E0EA96A4D7}"/>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2 2 2" xfId="5338" xr:uid="{9AD1AC9B-53B0-4B64-A042-E31264786F7A}"/>
    <cellStyle name="Normal 5 2 5 2 2 2 3" xfId="3795" xr:uid="{70780112-DAF9-46A1-99CC-3EEDC861D096}"/>
    <cellStyle name="Normal 5 2 5 2 2 3" xfId="2065" xr:uid="{237DDF50-8DFC-44C5-85FA-F107F8015090}"/>
    <cellStyle name="Normal 5 2 5 2 2 3 2" xfId="4582" xr:uid="{ACDF1C31-39A6-4CBC-8269-31A6582329C1}"/>
    <cellStyle name="Normal 5 2 5 2 2 4" xfId="3586" xr:uid="{072824B8-6BC8-4CB8-AAD8-B627B4691327}"/>
    <cellStyle name="Normal 5 2 5 2 3" xfId="757" xr:uid="{00000000-0005-0000-0000-00000E020000}"/>
    <cellStyle name="Normal 5 2 5 2 3 2" xfId="2502" xr:uid="{F4AD6C79-4FF5-4886-83EF-DE9948101D29}"/>
    <cellStyle name="Normal 5 2 5 2 3 2 2" xfId="4937" xr:uid="{1D5FDD2B-0914-4701-9FC7-F30B28651631}"/>
    <cellStyle name="Normal 5 2 5 2 3 3" xfId="3690" xr:uid="{6CD6ABDE-A705-4863-895F-7A5C1E3B8E31}"/>
    <cellStyle name="Normal 5 2 5 2 4" xfId="1474" xr:uid="{6DF9288D-7D8C-4F63-9814-83BDADC6D391}"/>
    <cellStyle name="Normal 5 2 5 2 4 2" xfId="4067" xr:uid="{A1645CE5-2D1F-42C6-B3C8-851B1CD51EA4}"/>
    <cellStyle name="Normal 5 2 5 2 5" xfId="3476" xr:uid="{F9099F82-92FE-4020-9C2D-ED83ABB185A3}"/>
    <cellStyle name="Normal 5 2 5 3" xfId="600" xr:uid="{00000000-0005-0000-0000-00000F020000}"/>
    <cellStyle name="Normal 5 2 5 3 2" xfId="811" xr:uid="{00000000-0005-0000-0000-000010020000}"/>
    <cellStyle name="Normal 5 2 5 3 2 2" xfId="2733" xr:uid="{0ED8573C-830C-4EF9-9B77-100A675A52E7}"/>
    <cellStyle name="Normal 5 2 5 3 2 2 2" xfId="5168" xr:uid="{F5993DC7-17EA-4CC5-B159-00EB074A6400}"/>
    <cellStyle name="Normal 5 2 5 3 2 3" xfId="3743" xr:uid="{5B1CF1DF-2436-4E94-AB37-9E59D5E14307}"/>
    <cellStyle name="Normal 5 2 5 3 3" xfId="1895" xr:uid="{C3C9BC4C-5BFE-4DCD-9B9D-7C9DFC32ABBF}"/>
    <cellStyle name="Normal 5 2 5 3 3 2" xfId="4412" xr:uid="{7DEF2071-8367-43A2-A41E-E279F68F0296}"/>
    <cellStyle name="Normal 5 2 5 3 4" xfId="3534" xr:uid="{EE958E97-1617-4E57-A870-CE9BF78A63F3}"/>
    <cellStyle name="Normal 5 2 5 4" xfId="705" xr:uid="{00000000-0005-0000-0000-000011020000}"/>
    <cellStyle name="Normal 5 2 5 4 2" xfId="2501" xr:uid="{C3C45496-005B-4DCE-98F4-8BE72951ACFE}"/>
    <cellStyle name="Normal 5 2 5 4 2 2" xfId="4936" xr:uid="{EC5E35C3-CBCB-437B-9554-CEA1A55F466A}"/>
    <cellStyle name="Normal 5 2 5 4 3" xfId="3638" xr:uid="{002671B6-D18F-49F2-94C3-6101BB1AB807}"/>
    <cellStyle name="Normal 5 2 5 5" xfId="1473" xr:uid="{47AA79EE-E2E6-4564-B87A-215764F5B752}"/>
    <cellStyle name="Normal 5 2 5 5 2" xfId="4066" xr:uid="{464B02E2-F03C-4D81-96E1-90D98F8E94CB}"/>
    <cellStyle name="Normal 5 2 5 6" xfId="3419" xr:uid="{66CBA551-ADB4-4142-A72C-FEDD1C4271F7}"/>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2 2 2" xfId="5327" xr:uid="{11C766A4-DB08-4030-A7CB-4004EE4CE943}"/>
    <cellStyle name="Normal 5 2 6 2 2 3" xfId="3769" xr:uid="{06B39E04-DD27-4EB5-B61D-409CB1A60B7B}"/>
    <cellStyle name="Normal 5 2 6 2 3" xfId="2054" xr:uid="{94D1054A-7A84-43AD-AF06-243A17622208}"/>
    <cellStyle name="Normal 5 2 6 2 3 2" xfId="4571" xr:uid="{C025A754-68AE-4EE2-9F6E-5F30F8F654C0}"/>
    <cellStyle name="Normal 5 2 6 2 4" xfId="3560" xr:uid="{C86B6B0F-32A0-43FD-ADC4-4BAEB50D2BAD}"/>
    <cellStyle name="Normal 5 2 6 3" xfId="731" xr:uid="{00000000-0005-0000-0000-000015020000}"/>
    <cellStyle name="Normal 5 2 6 3 2" xfId="2503" xr:uid="{8B95027A-D8AD-446D-A18A-AD34CAD77CAC}"/>
    <cellStyle name="Normal 5 2 6 3 2 2" xfId="4938" xr:uid="{2C24BA2D-7CD6-4449-8AFE-CB570F0932BD}"/>
    <cellStyle name="Normal 5 2 6 3 3" xfId="3664" xr:uid="{EA10F2C1-394F-499C-B8C8-3613D4FD7EBD}"/>
    <cellStyle name="Normal 5 2 6 4" xfId="1475" xr:uid="{9C6705D3-00CD-4073-8793-4FD00BCAA3D2}"/>
    <cellStyle name="Normal 5 2 6 4 2" xfId="4068" xr:uid="{12BC2A45-68BF-4640-8496-6438CBC66AFB}"/>
    <cellStyle name="Normal 5 2 6 5" xfId="3450" xr:uid="{22177B6F-58DB-44C4-9A9F-9F588C79CBD8}"/>
    <cellStyle name="Normal 5 2 7" xfId="574" xr:uid="{00000000-0005-0000-0000-000016020000}"/>
    <cellStyle name="Normal 5 2 7 2" xfId="785" xr:uid="{00000000-0005-0000-0000-000017020000}"/>
    <cellStyle name="Normal 5 2 7 2 2" xfId="2722" xr:uid="{AB4D8A44-93B5-4874-9715-752218846DD1}"/>
    <cellStyle name="Normal 5 2 7 2 2 2" xfId="5157" xr:uid="{7C7079AB-8704-412C-8AFD-5844F607BF1A}"/>
    <cellStyle name="Normal 5 2 7 2 3" xfId="3717" xr:uid="{283A09AE-2BFB-418D-8518-7295346F727D}"/>
    <cellStyle name="Normal 5 2 7 3" xfId="1884" xr:uid="{ED964A47-6AE7-4CAC-9F2B-A37C894FB1BE}"/>
    <cellStyle name="Normal 5 2 7 3 2" xfId="4401" xr:uid="{9C78F819-3489-44B1-8CD7-272E7D8E396B}"/>
    <cellStyle name="Normal 5 2 7 4" xfId="3508" xr:uid="{64104E1D-DA1A-4C5B-900A-6BE482365EF7}"/>
    <cellStyle name="Normal 5 2 8" xfId="679" xr:uid="{00000000-0005-0000-0000-000018020000}"/>
    <cellStyle name="Normal 5 2 8 2" xfId="2240" xr:uid="{B0A293CB-FF2D-4A5D-93F3-5E715A409691}"/>
    <cellStyle name="Normal 5 2 8 2 2" xfId="4709" xr:uid="{E5D69235-35B5-42B6-B066-E51B113970D5}"/>
    <cellStyle name="Normal 5 2 8 3" xfId="3612" xr:uid="{A3B893BC-A167-4F81-A493-754657212D27}"/>
    <cellStyle name="Normal 5 2 9" xfId="2480" xr:uid="{0BD1D395-D750-4B79-BDC3-2221C8B12C4C}"/>
    <cellStyle name="Normal 5 2 9 2" xfId="4915" xr:uid="{D0C18FAA-F1B2-4E24-9C64-B9E50EA081E8}"/>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2 2 2" xfId="5340" xr:uid="{E6F3AF95-2C7D-4658-ACBE-DF6EA354B06E}"/>
    <cellStyle name="Normal 5 3 2 2 2 2 2 3" xfId="3805" xr:uid="{98B77455-F9D9-4A74-85FD-68B10AEB7A7C}"/>
    <cellStyle name="Normal 5 3 2 2 2 2 3" xfId="2067" xr:uid="{E09FFE0B-2777-461D-9899-21B44832AC8F}"/>
    <cellStyle name="Normal 5 3 2 2 2 2 3 2" xfId="4584" xr:uid="{FFC63DE9-27BF-42CA-AC3B-740671586CA1}"/>
    <cellStyle name="Normal 5 3 2 2 2 2 4" xfId="3596" xr:uid="{32425F05-0ADF-4104-89AE-840F25763E56}"/>
    <cellStyle name="Normal 5 3 2 2 2 3" xfId="767" xr:uid="{00000000-0005-0000-0000-00001F020000}"/>
    <cellStyle name="Normal 5 3 2 2 2 3 2" xfId="2506" xr:uid="{34FEC0F5-93DF-4135-A598-DEB93123A834}"/>
    <cellStyle name="Normal 5 3 2 2 2 3 2 2" xfId="4941" xr:uid="{B82FE000-A159-484E-9B84-49E969E396F4}"/>
    <cellStyle name="Normal 5 3 2 2 2 3 3" xfId="3700" xr:uid="{BE25F62F-D6FF-49E0-9425-03E804D25967}"/>
    <cellStyle name="Normal 5 3 2 2 2 4" xfId="1479" xr:uid="{BF14F7C7-5188-4CAC-9026-E329AC71FA27}"/>
    <cellStyle name="Normal 5 3 2 2 2 4 2" xfId="4071" xr:uid="{F58C3A60-399E-4B69-8FDC-F6579321D29F}"/>
    <cellStyle name="Normal 5 3 2 2 2 5" xfId="3486" xr:uid="{CE38AE8A-22B4-40BE-BBDE-ECC305185C0D}"/>
    <cellStyle name="Normal 5 3 2 2 3" xfId="610" xr:uid="{00000000-0005-0000-0000-000020020000}"/>
    <cellStyle name="Normal 5 3 2 2 3 2" xfId="821" xr:uid="{00000000-0005-0000-0000-000021020000}"/>
    <cellStyle name="Normal 5 3 2 2 3 2 2" xfId="2735" xr:uid="{7007D841-94B8-4517-85FD-74259C3FBFD4}"/>
    <cellStyle name="Normal 5 3 2 2 3 2 2 2" xfId="5170" xr:uid="{306070FC-3F22-4F0F-A2A7-08D64FD056D8}"/>
    <cellStyle name="Normal 5 3 2 2 3 2 3" xfId="3753" xr:uid="{773C69CF-2DCD-4896-9E58-78C7543612BA}"/>
    <cellStyle name="Normal 5 3 2 2 3 3" xfId="1897" xr:uid="{557C8FD9-C67B-4272-957D-5F83EF5628CF}"/>
    <cellStyle name="Normal 5 3 2 2 3 3 2" xfId="4414" xr:uid="{947CB7B4-A075-4B6D-AED8-6A4DD99FBB93}"/>
    <cellStyle name="Normal 5 3 2 2 3 4" xfId="3544" xr:uid="{4F13872E-DD61-4114-AB5B-51081673EE9F}"/>
    <cellStyle name="Normal 5 3 2 2 4" xfId="715" xr:uid="{00000000-0005-0000-0000-000022020000}"/>
    <cellStyle name="Normal 5 3 2 2 4 2" xfId="2505" xr:uid="{C7B56D19-68FF-4E15-8FDF-15185B913AA5}"/>
    <cellStyle name="Normal 5 3 2 2 4 2 2" xfId="4940" xr:uid="{F1A40060-C09B-4698-94BF-253FE71AF9CE}"/>
    <cellStyle name="Normal 5 3 2 2 4 3" xfId="3648" xr:uid="{2E113CE6-C94C-4861-B096-78C49FED7766}"/>
    <cellStyle name="Normal 5 3 2 2 5" xfId="1478" xr:uid="{4D30AA7A-F3F3-4D69-9DC4-39729FB3F0BD}"/>
    <cellStyle name="Normal 5 3 2 2 5 2" xfId="4070" xr:uid="{A4B32921-460A-4E88-B889-8EE5912F0B8B}"/>
    <cellStyle name="Normal 5 3 2 2 6" xfId="3429" xr:uid="{A7D9400F-C898-4727-A3DA-189A5E39AEB1}"/>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2 2" xfId="5341" xr:uid="{573361D3-EA69-4C8B-A2AC-C1B43D3C2C79}"/>
    <cellStyle name="Normal 5 3 2 3 2 2 3" xfId="2068" xr:uid="{15C865CF-3A72-4D3A-989D-60920341CAD2}"/>
    <cellStyle name="Normal 5 3 2 3 2 2 3 2" xfId="4585" xr:uid="{14E0B0B4-CC05-42CA-9069-ED18E2E8C93D}"/>
    <cellStyle name="Normal 5 3 2 3 2 2 4" xfId="3779" xr:uid="{CC7F0CFB-F642-4F1B-B55B-CCA5003E27FD}"/>
    <cellStyle name="Normal 5 3 2 3 2 3" xfId="2508" xr:uid="{88F943E9-7A07-44A8-852C-1F0A30D2836B}"/>
    <cellStyle name="Normal 5 3 2 3 2 3 2" xfId="4943" xr:uid="{20277A27-84F9-47F4-AE31-624D45463005}"/>
    <cellStyle name="Normal 5 3 2 3 2 4" xfId="1481" xr:uid="{32AFD444-0CA0-472D-BDF3-A537E1177792}"/>
    <cellStyle name="Normal 5 3 2 3 2 4 2" xfId="4073" xr:uid="{EF244EE6-A058-4E75-A626-C7822448421B}"/>
    <cellStyle name="Normal 5 3 2 3 2 5" xfId="3570" xr:uid="{755E65F1-9ABA-4E13-B200-7404FCB8D99A}"/>
    <cellStyle name="Normal 5 3 2 3 3" xfId="741" xr:uid="{00000000-0005-0000-0000-000026020000}"/>
    <cellStyle name="Normal 5 3 2 3 3 2" xfId="2736" xr:uid="{375AA0D8-A473-4155-AB4A-E537C10C84AA}"/>
    <cellStyle name="Normal 5 3 2 3 3 2 2" xfId="5171" xr:uid="{FA7635C9-97DC-4110-9EC4-E5E738870F0C}"/>
    <cellStyle name="Normal 5 3 2 3 3 3" xfId="1898" xr:uid="{72881647-2160-406C-83D5-018A9FCA8947}"/>
    <cellStyle name="Normal 5 3 2 3 3 3 2" xfId="4415" xr:uid="{D831C86C-1B61-44D2-8FCA-2F12BE1CE743}"/>
    <cellStyle name="Normal 5 3 2 3 3 4" xfId="3674" xr:uid="{72E90790-FBC4-442E-8B94-B37070BC9063}"/>
    <cellStyle name="Normal 5 3 2 3 4" xfId="2507" xr:uid="{E474728F-4506-4CE4-B5E8-E52249709289}"/>
    <cellStyle name="Normal 5 3 2 3 4 2" xfId="4942" xr:uid="{9598DC8F-6AF3-4F13-8BCB-3CA55D003B92}"/>
    <cellStyle name="Normal 5 3 2 3 5" xfId="1480" xr:uid="{76DE6850-9618-48F4-85E1-CB17C4019CD6}"/>
    <cellStyle name="Normal 5 3 2 3 5 2" xfId="4072" xr:uid="{62D01D13-3597-4ABE-9025-C7E10BF32A49}"/>
    <cellStyle name="Normal 5 3 2 3 6" xfId="3460" xr:uid="{4E2ED4B5-5472-458D-83B1-10BAB46483C3}"/>
    <cellStyle name="Normal 5 3 2 4" xfId="584" xr:uid="{00000000-0005-0000-0000-000027020000}"/>
    <cellStyle name="Normal 5 3 2 4 2" xfId="795" xr:uid="{00000000-0005-0000-0000-000028020000}"/>
    <cellStyle name="Normal 5 3 2 4 2 2" xfId="2904" xr:uid="{7B63F3B2-0691-4068-A879-FFF30213A5DF}"/>
    <cellStyle name="Normal 5 3 2 4 2 2 2" xfId="5339" xr:uid="{8270B2DF-9465-4932-953A-D0C964BDF50E}"/>
    <cellStyle name="Normal 5 3 2 4 2 3" xfId="2066" xr:uid="{F368123C-949C-4E23-8F48-A38105BB4DC5}"/>
    <cellStyle name="Normal 5 3 2 4 2 3 2" xfId="4583" xr:uid="{393CB28F-74B2-4ED9-AB44-7A2C82F42148}"/>
    <cellStyle name="Normal 5 3 2 4 2 4" xfId="3727" xr:uid="{DBD61F0A-FDA1-4B09-B519-B4678D55529A}"/>
    <cellStyle name="Normal 5 3 2 4 3" xfId="2509" xr:uid="{DE1A5BA0-F39C-4CC6-8BF5-BEEAA0495509}"/>
    <cellStyle name="Normal 5 3 2 4 3 2" xfId="4944" xr:uid="{62390541-F939-4DF4-9B2B-6B9380C512AB}"/>
    <cellStyle name="Normal 5 3 2 4 4" xfId="1482" xr:uid="{36C985FA-7A32-4D02-AB97-BDDCDC0BA53C}"/>
    <cellStyle name="Normal 5 3 2 4 4 2" xfId="4074" xr:uid="{83E8379F-DAAD-4497-BEBD-7CB48B15B1D8}"/>
    <cellStyle name="Normal 5 3 2 4 5" xfId="3518" xr:uid="{3458B768-FABF-4B86-90D3-2FFB3F9F082C}"/>
    <cellStyle name="Normal 5 3 2 5" xfId="689" xr:uid="{00000000-0005-0000-0000-000029020000}"/>
    <cellStyle name="Normal 5 3 2 5 2" xfId="2734" xr:uid="{1AD61E4E-A58E-4CD7-942C-8F46BAAEF4D6}"/>
    <cellStyle name="Normal 5 3 2 5 2 2" xfId="5169" xr:uid="{1F989ADE-7204-4343-9192-DC079E322BA9}"/>
    <cellStyle name="Normal 5 3 2 5 3" xfId="1896" xr:uid="{CEAD9501-2DAE-4A50-9098-86D9691B05F4}"/>
    <cellStyle name="Normal 5 3 2 5 3 2" xfId="4413" xr:uid="{FC3F15CA-460C-4884-A681-8AE2AFE69C8B}"/>
    <cellStyle name="Normal 5 3 2 5 4" xfId="3622" xr:uid="{77DCBA75-A44E-4F08-BF96-36EDED7DD757}"/>
    <cellStyle name="Normal 5 3 2 6" xfId="2504" xr:uid="{9F90B0C3-F749-44E7-BD2D-494D21FFD158}"/>
    <cellStyle name="Normal 5 3 2 6 2" xfId="4939" xr:uid="{D25E58FA-9A9A-41BE-A326-0ADFCB7C81DF}"/>
    <cellStyle name="Normal 5 3 2 7" xfId="1477" xr:uid="{A49D2BAE-4F77-4B6C-9AFB-584269182511}"/>
    <cellStyle name="Normal 5 3 2 7 2" xfId="4069" xr:uid="{0972C146-834A-4C96-AC38-996844D32B3D}"/>
    <cellStyle name="Normal 5 3 2 8" xfId="3398" xr:uid="{87EAD8F5-444E-48EB-A95C-020850ADF603}"/>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2 2" xfId="3814" xr:uid="{013EC4CE-C8DB-4487-B99B-87BF32A62960}"/>
    <cellStyle name="Normal 5 3 3 2 2 2 3" xfId="2907" xr:uid="{FED92EFF-F004-4AB8-A43E-9F87207F2477}"/>
    <cellStyle name="Normal 5 3 3 2 2 2 3 2" xfId="5342" xr:uid="{6D83AF9F-C44F-457A-AD20-652F23A6727A}"/>
    <cellStyle name="Normal 5 3 3 2 2 2 4" xfId="3605" xr:uid="{C4431531-734A-4EC5-96B4-066D33BFCA04}"/>
    <cellStyle name="Normal 5 3 3 2 2 3" xfId="776" xr:uid="{00000000-0005-0000-0000-00002F020000}"/>
    <cellStyle name="Normal 5 3 3 2 2 3 2" xfId="3709" xr:uid="{708B2318-0A06-4D91-A481-CBA3DC68714B}"/>
    <cellStyle name="Normal 5 3 3 2 2 4" xfId="2069" xr:uid="{9E8B92A4-0A24-448A-852A-61045F3C596D}"/>
    <cellStyle name="Normal 5 3 3 2 2 4 2" xfId="4586" xr:uid="{2F4F53B1-06A4-487E-BC77-98F78D9E9867}"/>
    <cellStyle name="Normal 5 3 3 2 2 5" xfId="3495" xr:uid="{171AE557-CD98-4CDF-8347-589566EF5C6E}"/>
    <cellStyle name="Normal 5 3 3 2 3" xfId="619" xr:uid="{00000000-0005-0000-0000-000030020000}"/>
    <cellStyle name="Normal 5 3 3 2 3 2" xfId="830" xr:uid="{00000000-0005-0000-0000-000031020000}"/>
    <cellStyle name="Normal 5 3 3 2 3 2 2" xfId="3762" xr:uid="{20E7DA11-F089-407E-BB29-375D998D23AF}"/>
    <cellStyle name="Normal 5 3 3 2 3 3" xfId="2511" xr:uid="{024C6A05-0961-4FC3-A988-0B39742B3598}"/>
    <cellStyle name="Normal 5 3 3 2 3 3 2" xfId="4946" xr:uid="{7E9B8577-35F8-4543-8D1F-C876DEE1CA80}"/>
    <cellStyle name="Normal 5 3 3 2 3 4" xfId="3553" xr:uid="{EE51077F-A852-4BBE-A2AC-48BCD7106AEE}"/>
    <cellStyle name="Normal 5 3 3 2 4" xfId="724" xr:uid="{00000000-0005-0000-0000-000032020000}"/>
    <cellStyle name="Normal 5 3 3 2 4 2" xfId="3657" xr:uid="{09EC7F46-5535-4F1E-84F6-ABD996892624}"/>
    <cellStyle name="Normal 5 3 3 2 5" xfId="1484" xr:uid="{43A2333E-70CD-4505-8A17-87D483D1A922}"/>
    <cellStyle name="Normal 5 3 3 2 5 2" xfId="4076" xr:uid="{A56AF537-6EFB-477F-93A4-244234E71A9E}"/>
    <cellStyle name="Normal 5 3 3 2 6" xfId="3438" xr:uid="{554C963E-80FF-487B-80D0-17651C4F172E}"/>
    <cellStyle name="Normal 5 3 3 3" xfId="489" xr:uid="{00000000-0005-0000-0000-000033020000}"/>
    <cellStyle name="Normal 5 3 3 3 2" xfId="645" xr:uid="{00000000-0005-0000-0000-000034020000}"/>
    <cellStyle name="Normal 5 3 3 3 2 2" xfId="856" xr:uid="{00000000-0005-0000-0000-000035020000}"/>
    <cellStyle name="Normal 5 3 3 3 2 2 2" xfId="3788" xr:uid="{D6B43BB2-4E3D-47B2-A5C0-716417BD8619}"/>
    <cellStyle name="Normal 5 3 3 3 2 3" xfId="2737" xr:uid="{BB94A5AA-624C-4B1D-AB1B-207FE5713B44}"/>
    <cellStyle name="Normal 5 3 3 3 2 3 2" xfId="5172" xr:uid="{93754057-D0C6-4178-97E3-473F882BA685}"/>
    <cellStyle name="Normal 5 3 3 3 2 4" xfId="3579" xr:uid="{EBECB9AC-0A89-434D-BCCE-FADA023198A9}"/>
    <cellStyle name="Normal 5 3 3 3 3" xfId="750" xr:uid="{00000000-0005-0000-0000-000036020000}"/>
    <cellStyle name="Normal 5 3 3 3 3 2" xfId="3683" xr:uid="{CBD2EE80-2020-465B-A993-1ACF6B8D88F8}"/>
    <cellStyle name="Normal 5 3 3 3 4" xfId="1899" xr:uid="{DB271AFA-8958-463E-9AD1-F485EBEA4ED2}"/>
    <cellStyle name="Normal 5 3 3 3 4 2" xfId="4416" xr:uid="{CFC41BCE-A323-4CCC-93B4-9F86370B9B8F}"/>
    <cellStyle name="Normal 5 3 3 3 5" xfId="3469" xr:uid="{339B4A1E-20BC-4CBE-97A7-1961F7A00ED9}"/>
    <cellStyle name="Normal 5 3 3 4" xfId="593" xr:uid="{00000000-0005-0000-0000-000037020000}"/>
    <cellStyle name="Normal 5 3 3 4 2" xfId="804" xr:uid="{00000000-0005-0000-0000-000038020000}"/>
    <cellStyle name="Normal 5 3 3 4 2 2" xfId="3736" xr:uid="{93D8BF51-FC8A-4D6B-8E7B-D4ABC7D2CE20}"/>
    <cellStyle name="Normal 5 3 3 4 3" xfId="2510" xr:uid="{CC5DF59F-77FA-404B-B029-61BBD5AA8FD3}"/>
    <cellStyle name="Normal 5 3 3 4 3 2" xfId="4945" xr:uid="{94C266A2-D540-439F-9CEF-6F2FD88275C0}"/>
    <cellStyle name="Normal 5 3 3 4 4" xfId="3527" xr:uid="{AFA84220-1AC3-463C-BCAB-5EA3B21B58BC}"/>
    <cellStyle name="Normal 5 3 3 5" xfId="698" xr:uid="{00000000-0005-0000-0000-000039020000}"/>
    <cellStyle name="Normal 5 3 3 5 2" xfId="3631" xr:uid="{E503A876-E0ED-4923-9E8A-064F116F59CE}"/>
    <cellStyle name="Normal 5 3 3 6" xfId="1483" xr:uid="{CC7440F1-8296-4789-86A6-DBE83A3D07BB}"/>
    <cellStyle name="Normal 5 3 3 6 2" xfId="4075" xr:uid="{1F8B4526-D182-4037-A062-26138B4AF34C}"/>
    <cellStyle name="Normal 5 3 3 7" xfId="3407" xr:uid="{A26CFC70-D21A-484B-AF8B-F8866493B99A}"/>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2 2 2" xfId="5343" xr:uid="{2EBDEB99-702F-4DFD-ADDC-2FF629D2AC43}"/>
    <cellStyle name="Normal 5 3 4 2 2 2 3" xfId="3797" xr:uid="{3FAFFEB0-42BD-4772-A552-F2F4BA66C7A4}"/>
    <cellStyle name="Normal 5 3 4 2 2 3" xfId="2070" xr:uid="{C3E83E2E-3F04-4258-9AC4-1B58536583F4}"/>
    <cellStyle name="Normal 5 3 4 2 2 3 2" xfId="4587" xr:uid="{2B3EA774-ED90-4D22-9A40-5840FA76F273}"/>
    <cellStyle name="Normal 5 3 4 2 2 4" xfId="3588" xr:uid="{242D05B6-1B87-4D25-A620-5AC8F364A041}"/>
    <cellStyle name="Normal 5 3 4 2 3" xfId="759" xr:uid="{00000000-0005-0000-0000-00003E020000}"/>
    <cellStyle name="Normal 5 3 4 2 3 2" xfId="2513" xr:uid="{83F99F57-A20D-47FE-9F4D-E9C0800104CD}"/>
    <cellStyle name="Normal 5 3 4 2 3 2 2" xfId="4948" xr:uid="{4FC5D091-B074-4779-9123-ED2ED69B90C6}"/>
    <cellStyle name="Normal 5 3 4 2 3 3" xfId="3692" xr:uid="{13119780-3215-489D-82A7-B4B3A4DA93A1}"/>
    <cellStyle name="Normal 5 3 4 2 4" xfId="1486" xr:uid="{352165A9-24B5-473A-A091-F65ED06A582B}"/>
    <cellStyle name="Normal 5 3 4 2 4 2" xfId="4078" xr:uid="{D53137F5-2B87-4EE2-8475-E8ECD142F665}"/>
    <cellStyle name="Normal 5 3 4 2 5" xfId="3478" xr:uid="{B4107C85-9BFC-4B4D-BCB6-8A09E078E668}"/>
    <cellStyle name="Normal 5 3 4 3" xfId="602" xr:uid="{00000000-0005-0000-0000-00003F020000}"/>
    <cellStyle name="Normal 5 3 4 3 2" xfId="813" xr:uid="{00000000-0005-0000-0000-000040020000}"/>
    <cellStyle name="Normal 5 3 4 3 2 2" xfId="2738" xr:uid="{072ABA06-D777-436C-992C-50BF2F955C11}"/>
    <cellStyle name="Normal 5 3 4 3 2 2 2" xfId="5173" xr:uid="{264E8F9D-A1D6-41A6-8952-51FD1C7CE46E}"/>
    <cellStyle name="Normal 5 3 4 3 2 3" xfId="3745" xr:uid="{1CA79868-D92A-41EB-98CC-7BA6F33D2B9F}"/>
    <cellStyle name="Normal 5 3 4 3 3" xfId="1900" xr:uid="{1FB3B786-FD6E-4FE1-9937-2F5B17B1FBFE}"/>
    <cellStyle name="Normal 5 3 4 3 3 2" xfId="4417" xr:uid="{61B4C065-E582-46A7-BBFD-F1B928D5165C}"/>
    <cellStyle name="Normal 5 3 4 3 4" xfId="3536" xr:uid="{91F3260D-5AF7-4751-815F-BECA5EDDE651}"/>
    <cellStyle name="Normal 5 3 4 4" xfId="707" xr:uid="{00000000-0005-0000-0000-000041020000}"/>
    <cellStyle name="Normal 5 3 4 4 2" xfId="2512" xr:uid="{504D2D35-891C-4D52-9900-66D415EA56EB}"/>
    <cellStyle name="Normal 5 3 4 4 2 2" xfId="4947" xr:uid="{082936C2-9C7E-41B7-ACEA-54FE3305CBED}"/>
    <cellStyle name="Normal 5 3 4 4 3" xfId="3640" xr:uid="{BCAF62F3-106A-4EFF-8CA0-F34451DD5233}"/>
    <cellStyle name="Normal 5 3 4 5" xfId="1485" xr:uid="{D9C185C2-2A79-4627-A634-AF26022777D6}"/>
    <cellStyle name="Normal 5 3 4 5 2" xfId="4077" xr:uid="{6C64F58F-D36F-4DED-9309-E06D2139757A}"/>
    <cellStyle name="Normal 5 3 4 6" xfId="3421" xr:uid="{84595A46-9F93-4350-9DF5-42DE6AD6446D}"/>
    <cellStyle name="Normal 5 3 5" xfId="472" xr:uid="{00000000-0005-0000-0000-000042020000}"/>
    <cellStyle name="Normal 5 3 5 2" xfId="628" xr:uid="{00000000-0005-0000-0000-000043020000}"/>
    <cellStyle name="Normal 5 3 5 2 2" xfId="839" xr:uid="{00000000-0005-0000-0000-000044020000}"/>
    <cellStyle name="Normal 5 3 5 2 2 2" xfId="3771" xr:uid="{88101F3A-9311-45F8-B9A9-407F69A50D60}"/>
    <cellStyle name="Normal 5 3 5 2 3" xfId="3562" xr:uid="{E896FD4C-19B7-4538-AFF0-631C4AD8FEFD}"/>
    <cellStyle name="Normal 5 3 5 3" xfId="733" xr:uid="{00000000-0005-0000-0000-000045020000}"/>
    <cellStyle name="Normal 5 3 5 3 2" xfId="3666" xr:uid="{30089712-67D4-4849-A08B-1A0BEF991120}"/>
    <cellStyle name="Normal 5 3 5 4" xfId="3452" xr:uid="{93EE1D20-ACBB-4C9E-8BB9-F1D85FACEE88}"/>
    <cellStyle name="Normal 5 3 6" xfId="576" xr:uid="{00000000-0005-0000-0000-000046020000}"/>
    <cellStyle name="Normal 5 3 6 2" xfId="787" xr:uid="{00000000-0005-0000-0000-000047020000}"/>
    <cellStyle name="Normal 5 3 6 2 2" xfId="3719" xr:uid="{5CEDFEB8-B0EB-4240-A9D1-2F5394581FF1}"/>
    <cellStyle name="Normal 5 3 6 3" xfId="3510" xr:uid="{B0978FD5-4E4A-4CFF-A8FD-19FCF0991D81}"/>
    <cellStyle name="Normal 5 3 7" xfId="681" xr:uid="{00000000-0005-0000-0000-000048020000}"/>
    <cellStyle name="Normal 5 3 7 2" xfId="3614" xr:uid="{6A1EADA9-BCAC-4222-A1CF-00178AE4F1B6}"/>
    <cellStyle name="Normal 5 3 8" xfId="1476" xr:uid="{C3F50E7A-3478-4DC5-BA1E-02C9D0E00766}"/>
    <cellStyle name="Normal 5 3 9" xfId="3385" xr:uid="{5AD14DD2-2831-47F1-9861-447F29D5690C}"/>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2 2 2" xfId="5345" xr:uid="{72CFCC00-97F1-4040-BE61-2E773F73D472}"/>
    <cellStyle name="Normal 5 4 2 2 2 2 3" xfId="3801" xr:uid="{E2B1B1B8-AA0A-4840-9511-8C144F08C161}"/>
    <cellStyle name="Normal 5 4 2 2 2 3" xfId="2072" xr:uid="{F9DB3EE8-0281-47DA-9C51-4378067B762D}"/>
    <cellStyle name="Normal 5 4 2 2 2 3 2" xfId="4589" xr:uid="{B4CB63AB-6BB5-4A02-BCED-852A00375C24}"/>
    <cellStyle name="Normal 5 4 2 2 2 4" xfId="3592" xr:uid="{D707225E-ACB1-4344-B1A7-7F676411F15D}"/>
    <cellStyle name="Normal 5 4 2 2 3" xfId="763" xr:uid="{00000000-0005-0000-0000-00004E020000}"/>
    <cellStyle name="Normal 5 4 2 2 3 2" xfId="2516" xr:uid="{9271B195-2F52-4C31-B5C5-FC128F73FD0F}"/>
    <cellStyle name="Normal 5 4 2 2 3 2 2" xfId="4951" xr:uid="{65521D9A-A5F7-4647-A8F9-B125891C5D48}"/>
    <cellStyle name="Normal 5 4 2 2 3 3" xfId="3696" xr:uid="{A061AA24-75F1-4914-B977-2AFC9E4801D9}"/>
    <cellStyle name="Normal 5 4 2 2 4" xfId="1489" xr:uid="{F241C311-FF85-44A8-AE00-4BAE74186B2D}"/>
    <cellStyle name="Normal 5 4 2 2 4 2" xfId="4081" xr:uid="{07D3E3ED-644C-477B-BDBF-6EB185855EE8}"/>
    <cellStyle name="Normal 5 4 2 2 5" xfId="3482" xr:uid="{824D5C97-7F60-4A4F-9814-FE7C8AF10A9B}"/>
    <cellStyle name="Normal 5 4 2 3" xfId="606" xr:uid="{00000000-0005-0000-0000-00004F020000}"/>
    <cellStyle name="Normal 5 4 2 3 2" xfId="817" xr:uid="{00000000-0005-0000-0000-000050020000}"/>
    <cellStyle name="Normal 5 4 2 3 2 2" xfId="2740" xr:uid="{C223F2EA-3F07-40C4-B9DB-ECCB0616C835}"/>
    <cellStyle name="Normal 5 4 2 3 2 2 2" xfId="5175" xr:uid="{EB5C5E0A-E4F0-49A3-9F49-DA0AEE302224}"/>
    <cellStyle name="Normal 5 4 2 3 2 3" xfId="3749" xr:uid="{21FD96A3-4AF8-48BE-A9C2-EA2376C0D4E8}"/>
    <cellStyle name="Normal 5 4 2 3 3" xfId="1902" xr:uid="{066410FA-ADBC-48F0-8790-6132C90ACA5C}"/>
    <cellStyle name="Normal 5 4 2 3 3 2" xfId="4419" xr:uid="{542EE0A3-1A34-4CD9-BBDC-FBF7B393F52A}"/>
    <cellStyle name="Normal 5 4 2 3 4" xfId="3540" xr:uid="{E15A762F-86DB-42F9-944A-CA9ED7092FEF}"/>
    <cellStyle name="Normal 5 4 2 4" xfId="711" xr:uid="{00000000-0005-0000-0000-000051020000}"/>
    <cellStyle name="Normal 5 4 2 4 2" xfId="2515" xr:uid="{A9192333-71A5-46B8-951E-CE8E503D9410}"/>
    <cellStyle name="Normal 5 4 2 4 2 2" xfId="4950" xr:uid="{5B52CAED-5892-44E5-A60A-55F4B68571D6}"/>
    <cellStyle name="Normal 5 4 2 4 3" xfId="3644" xr:uid="{38B057DE-6F03-42EA-8292-82112E45E02A}"/>
    <cellStyle name="Normal 5 4 2 5" xfId="1488" xr:uid="{16EB2FD0-81CA-4228-A80D-1EC951C46819}"/>
    <cellStyle name="Normal 5 4 2 5 2" xfId="4080" xr:uid="{B3A7C1DE-C048-4E85-97E1-8676EAE355C6}"/>
    <cellStyle name="Normal 5 4 2 6" xfId="3425" xr:uid="{0767D1E1-C5A4-456E-924C-9EF4D4EABB6F}"/>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2 2" xfId="5346" xr:uid="{97B1559C-97C1-47EF-BE24-70B88D5B4E15}"/>
    <cellStyle name="Normal 5 4 3 2 2 3" xfId="2073" xr:uid="{95AC8AD6-C4F2-4E58-8045-1257E1394637}"/>
    <cellStyle name="Normal 5 4 3 2 2 3 2" xfId="4590" xr:uid="{928F68BD-8D5C-406E-8E13-C64DE3FD67C4}"/>
    <cellStyle name="Normal 5 4 3 2 2 4" xfId="3775" xr:uid="{D1D89F05-4C08-4594-97E8-AB1B7D2C5646}"/>
    <cellStyle name="Normal 5 4 3 2 3" xfId="2518" xr:uid="{92073405-172E-4DED-AE07-3E02CBDABFEF}"/>
    <cellStyle name="Normal 5 4 3 2 3 2" xfId="4953" xr:uid="{7D0B383F-2C7D-4B7D-9D35-067E03B7AE36}"/>
    <cellStyle name="Normal 5 4 3 2 4" xfId="1491" xr:uid="{F0930CDE-8ED7-4F50-8BD8-A15A4FD2EA6E}"/>
    <cellStyle name="Normal 5 4 3 2 4 2" xfId="4083" xr:uid="{1CC27694-D28E-4124-AC30-25BF5D4B700D}"/>
    <cellStyle name="Normal 5 4 3 2 5" xfId="3566" xr:uid="{50A47D47-505F-44CC-8252-1D3C2CE339B2}"/>
    <cellStyle name="Normal 5 4 3 3" xfId="737" xr:uid="{00000000-0005-0000-0000-000055020000}"/>
    <cellStyle name="Normal 5 4 3 3 2" xfId="2741" xr:uid="{33FD0741-219E-451D-BAF2-E3C738270A4E}"/>
    <cellStyle name="Normal 5 4 3 3 2 2" xfId="5176" xr:uid="{A4248972-25E7-4708-B021-3209C4069BF0}"/>
    <cellStyle name="Normal 5 4 3 3 3" xfId="1903" xr:uid="{D28835A3-66DB-447D-A306-B31935B79B1C}"/>
    <cellStyle name="Normal 5 4 3 3 3 2" xfId="4420" xr:uid="{F0716DD1-D59F-492C-BA89-233AFBA59226}"/>
    <cellStyle name="Normal 5 4 3 3 4" xfId="3670" xr:uid="{EF27FFCC-B43C-401B-A772-C5D87E60623D}"/>
    <cellStyle name="Normal 5 4 3 4" xfId="2517" xr:uid="{7636130F-C454-48F8-83A7-AA22A7854ACA}"/>
    <cellStyle name="Normal 5 4 3 4 2" xfId="4952" xr:uid="{E6BECA4A-324E-442A-8178-C040EE837127}"/>
    <cellStyle name="Normal 5 4 3 5" xfId="1490" xr:uid="{268F588D-E882-484F-A634-7BF4FB73BD11}"/>
    <cellStyle name="Normal 5 4 3 5 2" xfId="4082" xr:uid="{AFC9D66E-2E28-4659-BDA9-A6BA3CB8152A}"/>
    <cellStyle name="Normal 5 4 3 6" xfId="3456" xr:uid="{89851139-57CD-4D37-B77B-F73B2ABAF4C9}"/>
    <cellStyle name="Normal 5 4 4" xfId="580" xr:uid="{00000000-0005-0000-0000-000056020000}"/>
    <cellStyle name="Normal 5 4 4 2" xfId="791" xr:uid="{00000000-0005-0000-0000-000057020000}"/>
    <cellStyle name="Normal 5 4 4 2 2" xfId="2909" xr:uid="{F1B3D911-7A4D-4D33-932A-2148E35B932F}"/>
    <cellStyle name="Normal 5 4 4 2 2 2" xfId="5344" xr:uid="{8A376ACF-C367-48D3-97F4-9FB3C689A361}"/>
    <cellStyle name="Normal 5 4 4 2 3" xfId="2071" xr:uid="{90DE3BFB-F936-4D0A-BD49-412DF87AD4AF}"/>
    <cellStyle name="Normal 5 4 4 2 3 2" xfId="4588" xr:uid="{F1F0B58E-B835-4C76-9AAA-62B5317236A5}"/>
    <cellStyle name="Normal 5 4 4 2 4" xfId="3723" xr:uid="{A6BBF485-3BB0-44BE-B4C5-85E6F50D526C}"/>
    <cellStyle name="Normal 5 4 4 3" xfId="2519" xr:uid="{6814017C-57C0-43A6-817B-CE9F052428D8}"/>
    <cellStyle name="Normal 5 4 4 3 2" xfId="4954" xr:uid="{95E1077E-E2D0-4E48-A9DD-3EE0FBCB62BF}"/>
    <cellStyle name="Normal 5 4 4 4" xfId="1492" xr:uid="{F447ECC3-C3F3-4636-BC04-E2EA26EE7D7A}"/>
    <cellStyle name="Normal 5 4 4 4 2" xfId="4084" xr:uid="{6F2AAFDC-35F6-43C5-BDD0-03A53B622004}"/>
    <cellStyle name="Normal 5 4 4 5" xfId="3514" xr:uid="{E37D0188-790F-4010-B671-A411CE835F96}"/>
    <cellStyle name="Normal 5 4 5" xfId="685" xr:uid="{00000000-0005-0000-0000-000058020000}"/>
    <cellStyle name="Normal 5 4 5 2" xfId="2739" xr:uid="{92231D32-5EB9-4D24-BA32-648CFFC008A2}"/>
    <cellStyle name="Normal 5 4 5 2 2" xfId="5174" xr:uid="{4F75F9D5-489F-42F9-B544-14D2E4A9C97F}"/>
    <cellStyle name="Normal 5 4 5 3" xfId="1901" xr:uid="{30A82EDE-386F-4AA1-AA19-5E0326A9B9B1}"/>
    <cellStyle name="Normal 5 4 5 3 2" xfId="4418" xr:uid="{9FF0C2C1-563A-4E6C-B6AA-92C34A6BB950}"/>
    <cellStyle name="Normal 5 4 5 4" xfId="3618" xr:uid="{C5AC8584-5DF3-452A-99E3-0ACC6FA6434A}"/>
    <cellStyle name="Normal 5 4 6" xfId="2514" xr:uid="{AF37760F-22D0-4079-AFEE-53ACE454A607}"/>
    <cellStyle name="Normal 5 4 6 2" xfId="4949" xr:uid="{62BCB0FB-BDB9-4A11-897D-9A3BDA83675A}"/>
    <cellStyle name="Normal 5 4 7" xfId="1487" xr:uid="{5CC29D29-3D6A-4DCA-BD06-7776078B1745}"/>
    <cellStyle name="Normal 5 4 7 2" xfId="4079" xr:uid="{EC38B195-779D-40F8-895E-EDFFB304096E}"/>
    <cellStyle name="Normal 5 4 8" xfId="3394" xr:uid="{0762F9FC-F8FD-4895-AB21-454193C0C01E}"/>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2 2" xfId="3810" xr:uid="{84A12033-2C44-4367-B819-70C1156563A8}"/>
    <cellStyle name="Normal 5 5 2 2 2 3" xfId="2912" xr:uid="{FAC68542-9D5A-4ABD-89B3-9DAD38D1AE7B}"/>
    <cellStyle name="Normal 5 5 2 2 2 3 2" xfId="5347" xr:uid="{876948BA-D5ED-488D-B522-DD94C319F192}"/>
    <cellStyle name="Normal 5 5 2 2 2 4" xfId="3601" xr:uid="{B8CD09DB-2698-431C-99F1-49106EFF267D}"/>
    <cellStyle name="Normal 5 5 2 2 3" xfId="772" xr:uid="{00000000-0005-0000-0000-00005E020000}"/>
    <cellStyle name="Normal 5 5 2 2 3 2" xfId="3705" xr:uid="{C2E56B0C-1817-4A99-B6F4-70D80224355F}"/>
    <cellStyle name="Normal 5 5 2 2 4" xfId="2074" xr:uid="{CF8E40F2-3337-44ED-867E-43C195C3EB78}"/>
    <cellStyle name="Normal 5 5 2 2 4 2" xfId="4591" xr:uid="{2C22D7E2-C27A-4E86-B101-BC2D99767134}"/>
    <cellStyle name="Normal 5 5 2 2 5" xfId="3491" xr:uid="{982957A5-B7DA-469C-96AF-9F16F66B9D24}"/>
    <cellStyle name="Normal 5 5 2 3" xfId="615" xr:uid="{00000000-0005-0000-0000-00005F020000}"/>
    <cellStyle name="Normal 5 5 2 3 2" xfId="826" xr:uid="{00000000-0005-0000-0000-000060020000}"/>
    <cellStyle name="Normal 5 5 2 3 2 2" xfId="3758" xr:uid="{CE11337F-6EE3-4E2C-AD80-D9FE9890E7FA}"/>
    <cellStyle name="Normal 5 5 2 3 3" xfId="2521" xr:uid="{6C6AD6E1-4874-4E7F-A3CB-F11D9D03C97A}"/>
    <cellStyle name="Normal 5 5 2 3 3 2" xfId="4956" xr:uid="{8D12666C-3A9B-4E19-AABA-AF4D44DE5A24}"/>
    <cellStyle name="Normal 5 5 2 3 4" xfId="3549" xr:uid="{FF65434A-B419-4CD5-B111-1E5B9129CFFD}"/>
    <cellStyle name="Normal 5 5 2 4" xfId="720" xr:uid="{00000000-0005-0000-0000-000061020000}"/>
    <cellStyle name="Normal 5 5 2 4 2" xfId="3653" xr:uid="{01C18986-5C8C-436A-8753-9F4DAA42234A}"/>
    <cellStyle name="Normal 5 5 2 5" xfId="1494" xr:uid="{8AD0CF6C-7647-4823-8EA4-1FC1E9A6C3DF}"/>
    <cellStyle name="Normal 5 5 2 5 2" xfId="4086" xr:uid="{25BB85DC-9AA5-4E17-B564-680AA947FD32}"/>
    <cellStyle name="Normal 5 5 2 6" xfId="3434" xr:uid="{CF52C87A-B79A-485D-A82C-B065C40474EC}"/>
    <cellStyle name="Normal 5 5 3" xfId="485" xr:uid="{00000000-0005-0000-0000-000062020000}"/>
    <cellStyle name="Normal 5 5 3 2" xfId="641" xr:uid="{00000000-0005-0000-0000-000063020000}"/>
    <cellStyle name="Normal 5 5 3 2 2" xfId="852" xr:uid="{00000000-0005-0000-0000-000064020000}"/>
    <cellStyle name="Normal 5 5 3 2 2 2" xfId="3784" xr:uid="{EE3B6E67-70F5-4819-BE4D-87B0E479C711}"/>
    <cellStyle name="Normal 5 5 3 2 3" xfId="2742" xr:uid="{21D6E47F-79B8-4BDC-BB46-A14E6024A082}"/>
    <cellStyle name="Normal 5 5 3 2 3 2" xfId="5177" xr:uid="{3AB073A1-F7EF-49A2-AD8D-5464A6AC31FA}"/>
    <cellStyle name="Normal 5 5 3 2 4" xfId="3575" xr:uid="{5998EEB5-57C0-496C-8EB4-D84057AE40DB}"/>
    <cellStyle name="Normal 5 5 3 3" xfId="746" xr:uid="{00000000-0005-0000-0000-000065020000}"/>
    <cellStyle name="Normal 5 5 3 3 2" xfId="3679" xr:uid="{34E31BB0-1377-40F0-8373-586F30EB6611}"/>
    <cellStyle name="Normal 5 5 3 4" xfId="1904" xr:uid="{D5331FB5-55C0-4466-AF25-13293DFCE74C}"/>
    <cellStyle name="Normal 5 5 3 4 2" xfId="4421" xr:uid="{4A3202ED-6A10-449E-BDBB-152CFC84BB23}"/>
    <cellStyle name="Normal 5 5 3 5" xfId="3465" xr:uid="{8B8F2FD5-AC68-4C24-94B2-B47CA725BF24}"/>
    <cellStyle name="Normal 5 5 4" xfId="589" xr:uid="{00000000-0005-0000-0000-000066020000}"/>
    <cellStyle name="Normal 5 5 4 2" xfId="800" xr:uid="{00000000-0005-0000-0000-000067020000}"/>
    <cellStyle name="Normal 5 5 4 2 2" xfId="3732" xr:uid="{6FD6D423-31CD-4B82-99F1-DC0F43E845D1}"/>
    <cellStyle name="Normal 5 5 4 3" xfId="2520" xr:uid="{75A4EAC1-FCA2-4E01-A31D-182C89B3FB30}"/>
    <cellStyle name="Normal 5 5 4 3 2" xfId="4955" xr:uid="{334DA73B-E673-4E7C-8E6C-99C35D5E33D1}"/>
    <cellStyle name="Normal 5 5 4 4" xfId="3523" xr:uid="{1F47D833-5763-4AAB-B2C1-FD74E64CE473}"/>
    <cellStyle name="Normal 5 5 5" xfId="694" xr:uid="{00000000-0005-0000-0000-000068020000}"/>
    <cellStyle name="Normal 5 5 5 2" xfId="3627" xr:uid="{0B1F08A3-F030-4543-A5C0-DB4FC02EFE97}"/>
    <cellStyle name="Normal 5 5 6" xfId="1493" xr:uid="{0589E20A-E694-4DD2-A0F1-EC4B19B36CB0}"/>
    <cellStyle name="Normal 5 5 6 2" xfId="4085" xr:uid="{373F2523-C897-40F0-9743-32B78B13A56B}"/>
    <cellStyle name="Normal 5 5 7" xfId="3403" xr:uid="{807ED598-A50B-4381-A8AE-2F7F6FEEBEFB}"/>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2 2 2" xfId="5348" xr:uid="{960E15C0-F8E3-4D48-A988-28A15A28A763}"/>
    <cellStyle name="Normal 5 6 2 2 2 3" xfId="3793" xr:uid="{EFB918F9-E12A-47EE-AAF6-CAA2C42D2234}"/>
    <cellStyle name="Normal 5 6 2 2 3" xfId="2075" xr:uid="{D4B326A8-7A81-44B8-A134-86C56035AD14}"/>
    <cellStyle name="Normal 5 6 2 2 3 2" xfId="4592" xr:uid="{6D2657EE-75DA-4627-8B44-F7B52087228E}"/>
    <cellStyle name="Normal 5 6 2 2 4" xfId="3584" xr:uid="{F98A66A2-1AAF-4A9C-9899-05176331A5EA}"/>
    <cellStyle name="Normal 5 6 2 3" xfId="755" xr:uid="{00000000-0005-0000-0000-00006D020000}"/>
    <cellStyle name="Normal 5 6 2 3 2" xfId="2523" xr:uid="{7844FDEE-F9C8-4E5B-867D-499D80C66FB4}"/>
    <cellStyle name="Normal 5 6 2 3 2 2" xfId="4958" xr:uid="{3F742839-3495-4908-A7B7-3695A41EB524}"/>
    <cellStyle name="Normal 5 6 2 3 3" xfId="3688" xr:uid="{2FF2E0A2-B2CF-45C6-A140-16259520A242}"/>
    <cellStyle name="Normal 5 6 2 4" xfId="1496" xr:uid="{97B75A6C-FE5F-4E28-A126-D413DC7FC06F}"/>
    <cellStyle name="Normal 5 6 2 4 2" xfId="4088" xr:uid="{F44659EA-7FB2-4720-8145-BC49B8012FEF}"/>
    <cellStyle name="Normal 5 6 2 5" xfId="3474" xr:uid="{B807D9A7-5DC1-450E-9790-3E6ED9BEB3E1}"/>
    <cellStyle name="Normal 5 6 3" xfId="598" xr:uid="{00000000-0005-0000-0000-00006E020000}"/>
    <cellStyle name="Normal 5 6 3 2" xfId="809" xr:uid="{00000000-0005-0000-0000-00006F020000}"/>
    <cellStyle name="Normal 5 6 3 2 2" xfId="2743" xr:uid="{F9986922-E9C5-45E0-81D2-10A86938AF85}"/>
    <cellStyle name="Normal 5 6 3 2 2 2" xfId="5178" xr:uid="{C90B1AE0-6E67-469F-B40E-9417C1A9ADF7}"/>
    <cellStyle name="Normal 5 6 3 2 3" xfId="3741" xr:uid="{7CE80913-AA17-43C5-97D8-DE7C920FF8C9}"/>
    <cellStyle name="Normal 5 6 3 3" xfId="1905" xr:uid="{CE0F1612-016C-401E-A376-2537748F9161}"/>
    <cellStyle name="Normal 5 6 3 3 2" xfId="4422" xr:uid="{A17BCC16-B749-45B3-B083-F94886FE6D8D}"/>
    <cellStyle name="Normal 5 6 3 4" xfId="3532" xr:uid="{9F782522-11EB-4BF6-8A82-621087B6C51A}"/>
    <cellStyle name="Normal 5 6 4" xfId="703" xr:uid="{00000000-0005-0000-0000-000070020000}"/>
    <cellStyle name="Normal 5 6 4 2" xfId="2522" xr:uid="{C13A9F9D-A83C-4DF6-B4A2-4C79F614A7E1}"/>
    <cellStyle name="Normal 5 6 4 2 2" xfId="4957" xr:uid="{2406A4A1-46F9-46AD-9F9D-814C968E5207}"/>
    <cellStyle name="Normal 5 6 4 3" xfId="3636" xr:uid="{8E402B69-147A-4ABD-8615-A47FADECC4E2}"/>
    <cellStyle name="Normal 5 6 5" xfId="1495" xr:uid="{73CD29BA-490F-4735-87FF-525905859A1F}"/>
    <cellStyle name="Normal 5 6 5 2" xfId="4087" xr:uid="{1405DA90-B4AC-4142-896E-DF0108C1DD4C}"/>
    <cellStyle name="Normal 5 6 6" xfId="3417" xr:uid="{D54B6000-D8C2-44D4-B809-E12FD608F047}"/>
    <cellStyle name="Normal 5 7" xfId="468" xr:uid="{00000000-0005-0000-0000-000071020000}"/>
    <cellStyle name="Normal 5 7 2" xfId="624" xr:uid="{00000000-0005-0000-0000-000072020000}"/>
    <cellStyle name="Normal 5 7 2 2" xfId="835" xr:uid="{00000000-0005-0000-0000-000073020000}"/>
    <cellStyle name="Normal 5 7 2 2 2" xfId="3767" xr:uid="{0572ADA6-8F3E-41D6-BC73-69D8D9C6D121}"/>
    <cellStyle name="Normal 5 7 2 3" xfId="3558" xr:uid="{47C5F13D-1F78-403B-AD53-8123CD336297}"/>
    <cellStyle name="Normal 5 7 3" xfId="729" xr:uid="{00000000-0005-0000-0000-000074020000}"/>
    <cellStyle name="Normal 5 7 3 2" xfId="3662" xr:uid="{96220A67-0E93-49CF-A507-333568380905}"/>
    <cellStyle name="Normal 5 7 4" xfId="1497" xr:uid="{5098B03F-6A2D-4EE0-BC68-F54757DCDED8}"/>
    <cellStyle name="Normal 5 7 5" xfId="3448" xr:uid="{63703A5A-37C6-4373-B80B-95C3F56C2548}"/>
    <cellStyle name="Normal 5 8" xfId="572" xr:uid="{00000000-0005-0000-0000-000075020000}"/>
    <cellStyle name="Normal 5 8 2" xfId="783" xr:uid="{00000000-0005-0000-0000-000076020000}"/>
    <cellStyle name="Normal 5 8 2 2" xfId="2812" xr:uid="{0EA57876-853F-401D-A5E4-70DD2F355931}"/>
    <cellStyle name="Normal 5 8 2 2 2" xfId="5247" xr:uid="{2935563B-5EEF-492C-99BC-96386E48A406}"/>
    <cellStyle name="Normal 5 8 2 3" xfId="1974" xr:uid="{6ACA11BA-0DC2-4D9C-9B56-0B67B589ABB9}"/>
    <cellStyle name="Normal 5 8 2 3 2" xfId="4491" xr:uid="{AAFA1C9E-33E4-40BA-BA2F-E43EFD736D58}"/>
    <cellStyle name="Normal 5 8 2 4" xfId="3715" xr:uid="{3A656338-1231-4804-930D-54F70255F310}"/>
    <cellStyle name="Normal 5 8 3" xfId="2524" xr:uid="{8039D7E4-68C7-44BD-91C6-B3D7DE62B34F}"/>
    <cellStyle name="Normal 5 8 3 2" xfId="4959" xr:uid="{BB52F716-909E-40B5-AB7E-81A3101C9CDD}"/>
    <cellStyle name="Normal 5 8 4" xfId="1498" xr:uid="{1EAC24C0-7E06-4761-8AE2-8DD9E0CE0352}"/>
    <cellStyle name="Normal 5 8 4 2" xfId="4089" xr:uid="{781B6DA0-43E2-4833-8C2C-4E189F45A360}"/>
    <cellStyle name="Normal 5 8 5" xfId="3506" xr:uid="{84C829F0-9868-4B9F-82CB-9CF5C5E9B047}"/>
    <cellStyle name="Normal 5 9" xfId="677" xr:uid="{00000000-0005-0000-0000-000077020000}"/>
    <cellStyle name="Normal 5 9 2" xfId="2642" xr:uid="{F19C7CE9-04FF-4870-B70E-4182BED088C8}"/>
    <cellStyle name="Normal 5 9 2 2" xfId="5077" xr:uid="{2029E742-E24C-46FB-B61E-6B2C53AF8EA5}"/>
    <cellStyle name="Normal 5 9 3" xfId="1804" xr:uid="{5BAF390E-0FFB-4949-ADE7-FBCEB345FC9A}"/>
    <cellStyle name="Normal 5 9 3 2" xfId="4321" xr:uid="{D8136910-C433-4376-A3A8-537BC10144E2}"/>
    <cellStyle name="Normal 5 9 4" xfId="3610" xr:uid="{0BCA892A-442C-4CE8-8473-9479AF5B32B7}"/>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2 2 2" xfId="4694" xr:uid="{3E54271C-A7B4-422A-83EF-7E5C6C78C895}"/>
    <cellStyle name="Normal 6 3" xfId="2241" xr:uid="{92F6EC70-3EEE-4EB1-ACE9-ADBC7D9101FA}"/>
    <cellStyle name="Normal 6 4" xfId="2196" xr:uid="{DCA6CCCF-ECC6-4ECF-B906-FD8CABC3258B}"/>
    <cellStyle name="Normal 6 4 2" xfId="4687" xr:uid="{73D05088-4E50-43C2-8FC7-951854C2707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10" xfId="3372" xr:uid="{0088F05D-C384-4D31-98A4-DF1C35AD4775}"/>
    <cellStyle name="Normal 7 2" xfId="285" xr:uid="{00000000-0005-0000-0000-00007B020000}"/>
    <cellStyle name="Normal 7 2 10" xfId="1501" xr:uid="{3E22D180-AB06-417C-892A-A2A2B4E83A81}"/>
    <cellStyle name="Normal 7 2 10 2" xfId="4091" xr:uid="{C4F82569-2A38-4B65-BC78-7C0C2B9C89AA}"/>
    <cellStyle name="Normal 7 2 11" xfId="3386" xr:uid="{75A50536-488D-4AA9-9F2D-43AFA6B1BD85}"/>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2 2" xfId="5353" xr:uid="{1B6A31C4-7DD6-4104-955E-E6B7A7BDEBB5}"/>
    <cellStyle name="Normal 7 2 2 2 2 2 2 3" xfId="2080" xr:uid="{E1318643-47C0-4C88-9CB1-725229B4C11D}"/>
    <cellStyle name="Normal 7 2 2 2 2 2 2 3 2" xfId="4597" xr:uid="{C42C2ACA-E277-4A6F-8958-2CE22797002A}"/>
    <cellStyle name="Normal 7 2 2 2 2 2 2 4" xfId="3806" xr:uid="{90894113-7EC6-451E-9893-EF912DE15C05}"/>
    <cellStyle name="Normal 7 2 2 2 2 2 3" xfId="2530" xr:uid="{09B2417E-CC8A-4902-8C3F-10772BADE0F6}"/>
    <cellStyle name="Normal 7 2 2 2 2 2 3 2" xfId="4965" xr:uid="{53816C23-B8BB-46DA-8878-EFD6C9EFDF69}"/>
    <cellStyle name="Normal 7 2 2 2 2 2 4" xfId="1505" xr:uid="{31DD99B3-9FE1-46B3-B53D-0CB925F5297F}"/>
    <cellStyle name="Normal 7 2 2 2 2 2 4 2" xfId="4095" xr:uid="{FBF8712A-4EB6-4477-A675-0F6635BA2098}"/>
    <cellStyle name="Normal 7 2 2 2 2 2 5" xfId="3597" xr:uid="{FF828BD1-F117-4AFE-8FF4-6D311E643C84}"/>
    <cellStyle name="Normal 7 2 2 2 2 3" xfId="768" xr:uid="{00000000-0005-0000-0000-000081020000}"/>
    <cellStyle name="Normal 7 2 2 2 2 3 2" xfId="2748" xr:uid="{7AFB6E98-2504-4B19-BCC9-8217DD579D72}"/>
    <cellStyle name="Normal 7 2 2 2 2 3 2 2" xfId="5183" xr:uid="{56DD7224-F789-4F15-BF5E-8990B96B2DF3}"/>
    <cellStyle name="Normal 7 2 2 2 2 3 3" xfId="1910" xr:uid="{66327C3C-2E42-4121-A710-E397C9C550C0}"/>
    <cellStyle name="Normal 7 2 2 2 2 3 3 2" xfId="4427" xr:uid="{03D92820-F1B1-4852-A6D6-CEF5983E04DB}"/>
    <cellStyle name="Normal 7 2 2 2 2 3 4" xfId="3701" xr:uid="{9B57D3D2-954F-4FDB-8888-4FB8F819782A}"/>
    <cellStyle name="Normal 7 2 2 2 2 4" xfId="2529" xr:uid="{A4B12FEA-FFFE-42E1-931D-6510D30074D8}"/>
    <cellStyle name="Normal 7 2 2 2 2 4 2" xfId="4964" xr:uid="{4D585A6E-C0B0-4113-9911-83D84292C2B0}"/>
    <cellStyle name="Normal 7 2 2 2 2 5" xfId="1504" xr:uid="{49D71751-B5AA-4465-B3E9-9DB538809195}"/>
    <cellStyle name="Normal 7 2 2 2 2 5 2" xfId="4094" xr:uid="{2770918F-9A2B-456F-BCFF-AED7D66E46B5}"/>
    <cellStyle name="Normal 7 2 2 2 2 6" xfId="3487" xr:uid="{F9C7540C-2B95-4F74-883F-9661F68EC074}"/>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2 2 2" xfId="5354" xr:uid="{1077583B-B992-4A3F-AF2F-DA7DA730E2E5}"/>
    <cellStyle name="Normal 7 2 2 2 3 2 2 3" xfId="4598" xr:uid="{655C76C1-A50E-45BF-946C-00328BF41E90}"/>
    <cellStyle name="Normal 7 2 2 2 3 2 3" xfId="2532" xr:uid="{0112B907-AFDF-4CDE-A285-DF5857EA588B}"/>
    <cellStyle name="Normal 7 2 2 2 3 2 3 2" xfId="4967" xr:uid="{D67CA705-3C75-4AD8-8E5A-BF3BF4C11BD2}"/>
    <cellStyle name="Normal 7 2 2 2 3 2 4" xfId="1507" xr:uid="{BEA9D9C7-08D8-4160-8EA8-2DF9B7DEF552}"/>
    <cellStyle name="Normal 7 2 2 2 3 2 4 2" xfId="4097" xr:uid="{1AFA831C-C37A-4FFA-AA86-DDED9F178042}"/>
    <cellStyle name="Normal 7 2 2 2 3 2 5" xfId="3754" xr:uid="{9E424CE7-DE2D-4C46-9026-BE1194FFA002}"/>
    <cellStyle name="Normal 7 2 2 2 3 3" xfId="1911" xr:uid="{188CEB77-AEE9-4312-BC8C-AEACDDEEA738}"/>
    <cellStyle name="Normal 7 2 2 2 3 3 2" xfId="2749" xr:uid="{533540D2-8E0C-4281-A32F-3EECAFEC08DC}"/>
    <cellStyle name="Normal 7 2 2 2 3 3 2 2" xfId="5184" xr:uid="{421324CB-CF89-4388-AFD8-44A2522DC945}"/>
    <cellStyle name="Normal 7 2 2 2 3 3 3" xfId="4428" xr:uid="{08327272-129F-405B-9E0B-DFA2D90754F9}"/>
    <cellStyle name="Normal 7 2 2 2 3 4" xfId="2531" xr:uid="{C0355EF4-579C-4BB1-9DF6-EED1140B4323}"/>
    <cellStyle name="Normal 7 2 2 2 3 4 2" xfId="4966" xr:uid="{DDBE6074-FF39-4844-8398-847D5029BF6B}"/>
    <cellStyle name="Normal 7 2 2 2 3 5" xfId="1506" xr:uid="{4C7E692D-9197-4C02-A159-F945FB0100E0}"/>
    <cellStyle name="Normal 7 2 2 2 3 5 2" xfId="4096" xr:uid="{6B67DABF-BB2F-43B6-84E7-9F394CDE7C18}"/>
    <cellStyle name="Normal 7 2 2 2 3 6" xfId="3545" xr:uid="{F2FC11FE-2902-4935-AC6F-649C11C1433D}"/>
    <cellStyle name="Normal 7 2 2 2 4" xfId="716" xr:uid="{00000000-0005-0000-0000-000084020000}"/>
    <cellStyle name="Normal 7 2 2 2 4 2" xfId="2079" xr:uid="{2736967C-923E-4241-89BA-D27DB61D803E}"/>
    <cellStyle name="Normal 7 2 2 2 4 2 2" xfId="2917" xr:uid="{293AAD51-E6C8-4CE5-8F79-79C8555F157D}"/>
    <cellStyle name="Normal 7 2 2 2 4 2 2 2" xfId="5352" xr:uid="{E35F4678-415D-4C78-9BEC-A0E009FFCE71}"/>
    <cellStyle name="Normal 7 2 2 2 4 2 3" xfId="4596" xr:uid="{70C4AE27-1C40-4288-8E5A-7DC6B59C33A6}"/>
    <cellStyle name="Normal 7 2 2 2 4 3" xfId="2533" xr:uid="{4E0C7ADE-462D-489A-B0FB-F502190D906A}"/>
    <cellStyle name="Normal 7 2 2 2 4 3 2" xfId="4968" xr:uid="{BAA56ABA-28FA-4B19-9D3D-366669B47297}"/>
    <cellStyle name="Normal 7 2 2 2 4 4" xfId="1508" xr:uid="{CBFC41F6-3D98-4F56-87EA-58228CB31555}"/>
    <cellStyle name="Normal 7 2 2 2 4 4 2" xfId="4098" xr:uid="{9E6AB46E-B8D4-4900-83DA-576EE39245E8}"/>
    <cellStyle name="Normal 7 2 2 2 4 5" xfId="3649" xr:uid="{EDAADA6E-700C-4879-A48B-86FFF1ECF8FC}"/>
    <cellStyle name="Normal 7 2 2 2 5" xfId="1909" xr:uid="{F45D7E83-1C3C-4010-B698-2294F7412AF7}"/>
    <cellStyle name="Normal 7 2 2 2 5 2" xfId="2747" xr:uid="{6CD64317-4E46-4F03-80D3-2AC14B0F8DF1}"/>
    <cellStyle name="Normal 7 2 2 2 5 2 2" xfId="5182" xr:uid="{488ABA5A-35B5-422A-9D60-20F18657398D}"/>
    <cellStyle name="Normal 7 2 2 2 5 3" xfId="4426" xr:uid="{45A1CCED-861F-4D7B-8326-4E55D0A32776}"/>
    <cellStyle name="Normal 7 2 2 2 6" xfId="2528" xr:uid="{E4B09D5A-DD5F-4147-B159-093FA50905ED}"/>
    <cellStyle name="Normal 7 2 2 2 6 2" xfId="4963" xr:uid="{BA45E8B3-2829-40FF-BB73-C5A6EE7D101C}"/>
    <cellStyle name="Normal 7 2 2 2 7" xfId="1503" xr:uid="{8E340732-1F9A-4982-BC44-EBF853C09BCF}"/>
    <cellStyle name="Normal 7 2 2 2 7 2" xfId="4093" xr:uid="{133C26EB-4C20-4F92-B5A1-0D4F2623EB0A}"/>
    <cellStyle name="Normal 7 2 2 2 8" xfId="3430" xr:uid="{62A81902-DBDB-4241-A4ED-F4DA98CD2CF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2 2" xfId="5355" xr:uid="{1A708968-6BEF-4907-9AB7-68891269A783}"/>
    <cellStyle name="Normal 7 2 2 3 2 2 3" xfId="2082" xr:uid="{E7230597-33AF-4936-8279-8DCA226DD1D3}"/>
    <cellStyle name="Normal 7 2 2 3 2 2 3 2" xfId="4599" xr:uid="{6BB297D5-C965-4132-973B-591A9783282D}"/>
    <cellStyle name="Normal 7 2 2 3 2 2 4" xfId="3780" xr:uid="{61E2D7B2-B45E-4D8E-9670-DD0812C3B80A}"/>
    <cellStyle name="Normal 7 2 2 3 2 3" xfId="2535" xr:uid="{B791DECD-F77E-42B7-837E-2E130DDFFA51}"/>
    <cellStyle name="Normal 7 2 2 3 2 3 2" xfId="4970" xr:uid="{1FC4883D-094A-41F1-B5FA-A3237CD20CD0}"/>
    <cellStyle name="Normal 7 2 2 3 2 4" xfId="1510" xr:uid="{F26D6CDD-9921-411E-AE2B-FB7EAD58BBD6}"/>
    <cellStyle name="Normal 7 2 2 3 2 4 2" xfId="4100" xr:uid="{B474900C-C832-418C-88E2-97E3872A8898}"/>
    <cellStyle name="Normal 7 2 2 3 2 5" xfId="3571" xr:uid="{E1F570C7-4EAC-4250-99CC-3BA901828867}"/>
    <cellStyle name="Normal 7 2 2 3 3" xfId="742" xr:uid="{00000000-0005-0000-0000-000088020000}"/>
    <cellStyle name="Normal 7 2 2 3 3 2" xfId="2750" xr:uid="{7A3A6583-9421-4C5E-88A7-067FFE3BA592}"/>
    <cellStyle name="Normal 7 2 2 3 3 2 2" xfId="5185" xr:uid="{2D608E39-0995-4EB2-9087-6A8D513C1A5B}"/>
    <cellStyle name="Normal 7 2 2 3 3 3" xfId="1912" xr:uid="{CEE145F0-7983-43B5-8747-0FDF7E2F98A5}"/>
    <cellStyle name="Normal 7 2 2 3 3 3 2" xfId="4429" xr:uid="{90C8CA4C-A7D2-4007-98AA-4FB4BC0E3C85}"/>
    <cellStyle name="Normal 7 2 2 3 3 4" xfId="3675" xr:uid="{F6D9F8FD-B64E-4292-AE16-3BACEBB92270}"/>
    <cellStyle name="Normal 7 2 2 3 4" xfId="2534" xr:uid="{8F8A2865-E778-47FF-B844-4A552EF9043C}"/>
    <cellStyle name="Normal 7 2 2 3 4 2" xfId="4969" xr:uid="{071A36F5-147C-4084-B73B-854C79B6919F}"/>
    <cellStyle name="Normal 7 2 2 3 5" xfId="1509" xr:uid="{60CD7728-1148-4724-A65C-1CFAD97C991B}"/>
    <cellStyle name="Normal 7 2 2 3 5 2" xfId="4099" xr:uid="{B17529BA-F5A0-4FE8-8212-CC289C45747A}"/>
    <cellStyle name="Normal 7 2 2 3 6" xfId="3461" xr:uid="{7034C886-0955-4519-A8AD-B0A8B5DF3704}"/>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2 2 2" xfId="5356" xr:uid="{96073E0F-2502-40D3-93FC-EEBDF4CFCC95}"/>
    <cellStyle name="Normal 7 2 2 4 2 2 3" xfId="4600" xr:uid="{DD507AF4-3BFD-4483-BCCA-55AB31F81978}"/>
    <cellStyle name="Normal 7 2 2 4 2 3" xfId="2537" xr:uid="{FE6E0B36-BBC0-4119-AA19-6C404D5C92EB}"/>
    <cellStyle name="Normal 7 2 2 4 2 3 2" xfId="4972" xr:uid="{55C0432B-6744-4AF2-8A35-ED8BC7188041}"/>
    <cellStyle name="Normal 7 2 2 4 2 4" xfId="1512" xr:uid="{C179CFD3-D58C-4B81-A729-F7267B3277FB}"/>
    <cellStyle name="Normal 7 2 2 4 2 4 2" xfId="4102" xr:uid="{1A44D7C1-6634-4E30-ADB0-9CBB23D9616C}"/>
    <cellStyle name="Normal 7 2 2 4 2 5" xfId="3728" xr:uid="{2169F9C6-0C32-4F29-AE29-FCD49C184395}"/>
    <cellStyle name="Normal 7 2 2 4 3" xfId="1913" xr:uid="{FE8FF2B4-1A6B-4DB5-B870-D28DA542F121}"/>
    <cellStyle name="Normal 7 2 2 4 3 2" xfId="2751" xr:uid="{B5581DF4-127C-4782-AFB3-C7CA62B5034D}"/>
    <cellStyle name="Normal 7 2 2 4 3 2 2" xfId="5186" xr:uid="{8D7D038E-E644-4F79-9C9B-0EE340134A40}"/>
    <cellStyle name="Normal 7 2 2 4 3 3" xfId="4430" xr:uid="{E6B9BD92-9ADF-4CDD-ABE3-C6A4D9B40E14}"/>
    <cellStyle name="Normal 7 2 2 4 4" xfId="2536" xr:uid="{26B10B33-858E-43EB-A8FD-B81A3ADCD0FB}"/>
    <cellStyle name="Normal 7 2 2 4 4 2" xfId="4971" xr:uid="{22437904-F2E4-49B8-B979-BE4A3B60A416}"/>
    <cellStyle name="Normal 7 2 2 4 5" xfId="1511" xr:uid="{873B1081-45B7-471F-831A-67AFA1DEDC81}"/>
    <cellStyle name="Normal 7 2 2 4 5 2" xfId="4101" xr:uid="{F71579A0-CC0B-46B3-A7FD-675ABFEF7E58}"/>
    <cellStyle name="Normal 7 2 2 4 6" xfId="3519" xr:uid="{6E05703E-51BA-4728-85FA-B9BD0C5770AF}"/>
    <cellStyle name="Normal 7 2 2 5" xfId="690" xr:uid="{00000000-0005-0000-0000-00008B020000}"/>
    <cellStyle name="Normal 7 2 2 5 2" xfId="2078" xr:uid="{E9ABF06A-F496-425F-A131-A75277BC9895}"/>
    <cellStyle name="Normal 7 2 2 5 2 2" xfId="2916" xr:uid="{1D9DCEE4-801E-441A-A397-2D2482830C9F}"/>
    <cellStyle name="Normal 7 2 2 5 2 2 2" xfId="5351" xr:uid="{BCC749BA-7571-4A66-903F-282287378E41}"/>
    <cellStyle name="Normal 7 2 2 5 2 3" xfId="4595" xr:uid="{5F99F1DA-8B86-4DDD-AEB4-468DE9D2629F}"/>
    <cellStyle name="Normal 7 2 2 5 3" xfId="2538" xr:uid="{7E2EE2A6-D367-42D2-B1C7-DD08AE6732CC}"/>
    <cellStyle name="Normal 7 2 2 5 3 2" xfId="4973" xr:uid="{4E3625B1-A34C-450E-9685-667A50B939FE}"/>
    <cellStyle name="Normal 7 2 2 5 4" xfId="1513" xr:uid="{729ACD88-BB82-4332-897B-AD17C0FE3876}"/>
    <cellStyle name="Normal 7 2 2 5 4 2" xfId="4103" xr:uid="{9445889B-C7B7-4ACF-B878-A915C615B840}"/>
    <cellStyle name="Normal 7 2 2 5 5" xfId="3623" xr:uid="{84DC1333-3DBC-44F1-B8B4-01F4791BF02B}"/>
    <cellStyle name="Normal 7 2 2 6" xfId="1908" xr:uid="{92FCA010-431D-4F21-9490-F3A78C32733D}"/>
    <cellStyle name="Normal 7 2 2 6 2" xfId="2746" xr:uid="{A862FDCD-E311-4BD1-97CA-AF110E0DD198}"/>
    <cellStyle name="Normal 7 2 2 6 2 2" xfId="5181" xr:uid="{3FEE11AF-50B1-4404-9746-10E121CEAEBB}"/>
    <cellStyle name="Normal 7 2 2 6 3" xfId="4425" xr:uid="{0479110B-78FF-4A51-A470-DF9DB1BCBCF1}"/>
    <cellStyle name="Normal 7 2 2 7" xfId="2527" xr:uid="{C3724462-9953-47AB-9143-2210DB07C7EF}"/>
    <cellStyle name="Normal 7 2 2 7 2" xfId="4962" xr:uid="{6FD7432F-6AB9-4E19-8F28-0D733CA558A2}"/>
    <cellStyle name="Normal 7 2 2 8" xfId="1502" xr:uid="{C57153C2-4980-41FE-AB16-4AB389ACB17F}"/>
    <cellStyle name="Normal 7 2 2 8 2" xfId="4092" xr:uid="{F61BE46C-B827-426C-A830-22CF18DC5F12}"/>
    <cellStyle name="Normal 7 2 2 9" xfId="3399" xr:uid="{B511134D-1FC0-4DEF-82EB-CA132C50D681}"/>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2 2 2" xfId="5358" xr:uid="{36DA06E9-5365-49C0-AC9F-A28C8D0A532E}"/>
    <cellStyle name="Normal 7 2 3 2 2 2 2 3" xfId="3815" xr:uid="{4F6E0990-78D6-48C8-9380-05B001189AD6}"/>
    <cellStyle name="Normal 7 2 3 2 2 2 3" xfId="2085" xr:uid="{31777AF6-547C-4E22-A7AB-E0CF28F8DFF4}"/>
    <cellStyle name="Normal 7 2 3 2 2 2 3 2" xfId="4602" xr:uid="{593142DB-3E1F-4622-B1C1-4C244AA14BA4}"/>
    <cellStyle name="Normal 7 2 3 2 2 2 4" xfId="3606" xr:uid="{CFD648D3-6243-4724-B95F-834F77C5DD99}"/>
    <cellStyle name="Normal 7 2 3 2 2 3" xfId="777" xr:uid="{00000000-0005-0000-0000-000091020000}"/>
    <cellStyle name="Normal 7 2 3 2 2 3 2" xfId="2541" xr:uid="{4913081D-7C1E-4062-84B5-469BF379D018}"/>
    <cellStyle name="Normal 7 2 3 2 2 3 2 2" xfId="4976" xr:uid="{F85255B0-B599-4A49-87A4-C0BE43ED20D6}"/>
    <cellStyle name="Normal 7 2 3 2 2 3 3" xfId="3710" xr:uid="{11554787-F372-4B09-BF4C-C129D4D45878}"/>
    <cellStyle name="Normal 7 2 3 2 2 4" xfId="1516" xr:uid="{FC54B5A1-D5F2-48FE-BDC6-64A339EA390B}"/>
    <cellStyle name="Normal 7 2 3 2 2 4 2" xfId="4106" xr:uid="{2C612BEA-96AD-4892-9A80-7FC41B8878DE}"/>
    <cellStyle name="Normal 7 2 3 2 2 5" xfId="3496" xr:uid="{7A517437-E2D2-4106-B2E2-B096E7A4B172}"/>
    <cellStyle name="Normal 7 2 3 2 3" xfId="620" xr:uid="{00000000-0005-0000-0000-000092020000}"/>
    <cellStyle name="Normal 7 2 3 2 3 2" xfId="831" xr:uid="{00000000-0005-0000-0000-000093020000}"/>
    <cellStyle name="Normal 7 2 3 2 3 2 2" xfId="2753" xr:uid="{448DE24B-D6BF-41E6-828A-EA4A2AD9600F}"/>
    <cellStyle name="Normal 7 2 3 2 3 2 2 2" xfId="5188" xr:uid="{71F64FF8-4AED-4E89-82B8-53A6C483C08F}"/>
    <cellStyle name="Normal 7 2 3 2 3 2 3" xfId="3763" xr:uid="{A030EEF8-936E-4811-9A3F-293559403439}"/>
    <cellStyle name="Normal 7 2 3 2 3 3" xfId="1915" xr:uid="{C24AB6A7-383C-456C-AC17-B2397BBE2A94}"/>
    <cellStyle name="Normal 7 2 3 2 3 3 2" xfId="4432" xr:uid="{D43D4258-1D8E-4A59-88CD-680FAA1EC3E3}"/>
    <cellStyle name="Normal 7 2 3 2 3 4" xfId="3554" xr:uid="{3078802E-A2DC-47F5-9558-40DAD24C819E}"/>
    <cellStyle name="Normal 7 2 3 2 4" xfId="725" xr:uid="{00000000-0005-0000-0000-000094020000}"/>
    <cellStyle name="Normal 7 2 3 2 4 2" xfId="2540" xr:uid="{D2A14B17-C7BD-4470-A8BA-96E86D15FB76}"/>
    <cellStyle name="Normal 7 2 3 2 4 2 2" xfId="4975" xr:uid="{43E48794-A4A2-4E91-A863-5EBE6844DF98}"/>
    <cellStyle name="Normal 7 2 3 2 4 3" xfId="3658" xr:uid="{6032EE3F-CB79-4938-B988-4CC826D38A15}"/>
    <cellStyle name="Normal 7 2 3 2 5" xfId="1515" xr:uid="{BF3F2EFF-149B-4035-894C-97AAABABCEE1}"/>
    <cellStyle name="Normal 7 2 3 2 5 2" xfId="4105" xr:uid="{351BF63B-F4B2-48AE-AC53-E9D1CFC8A4B7}"/>
    <cellStyle name="Normal 7 2 3 2 6" xfId="3439" xr:uid="{8C058CBA-2A98-4F3E-93C5-37D8C569746E}"/>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2 2" xfId="5359" xr:uid="{3B09C7C5-2792-4785-B176-2E3C7922A402}"/>
    <cellStyle name="Normal 7 2 3 3 2 2 3" xfId="2086" xr:uid="{01BEA39F-33A0-4240-942F-C8B6EB5ED2C8}"/>
    <cellStyle name="Normal 7 2 3 3 2 2 3 2" xfId="4603" xr:uid="{CC24EEE0-C29D-4C2F-9BFA-A9ED33937714}"/>
    <cellStyle name="Normal 7 2 3 3 2 2 4" xfId="3789" xr:uid="{7325CB9D-9315-457E-99C2-26148F5D3C01}"/>
    <cellStyle name="Normal 7 2 3 3 2 3" xfId="2543" xr:uid="{C2B9D790-1BA6-4EED-A76D-CE714BBAB8D1}"/>
    <cellStyle name="Normal 7 2 3 3 2 3 2" xfId="4978" xr:uid="{B323DB63-6793-46E9-96BD-92FBC6086627}"/>
    <cellStyle name="Normal 7 2 3 3 2 4" xfId="1518" xr:uid="{D4EC1113-F2AE-4915-83B7-548E98C0A128}"/>
    <cellStyle name="Normal 7 2 3 3 2 4 2" xfId="4108" xr:uid="{0CAE9F22-A904-4054-A80F-3E2444E27147}"/>
    <cellStyle name="Normal 7 2 3 3 2 5" xfId="3580" xr:uid="{6D4AA02A-4746-4475-815D-0B2F810C3FBB}"/>
    <cellStyle name="Normal 7 2 3 3 3" xfId="751" xr:uid="{00000000-0005-0000-0000-000098020000}"/>
    <cellStyle name="Normal 7 2 3 3 3 2" xfId="2754" xr:uid="{7E627745-8D0E-43B4-BAB6-B73C69804B21}"/>
    <cellStyle name="Normal 7 2 3 3 3 2 2" xfId="5189" xr:uid="{222EDB7B-96FB-460D-9A71-680685CABC44}"/>
    <cellStyle name="Normal 7 2 3 3 3 3" xfId="1916" xr:uid="{70DA1A41-615A-47BB-A4C4-B1C7A5ADCB0D}"/>
    <cellStyle name="Normal 7 2 3 3 3 3 2" xfId="4433" xr:uid="{16E84F08-04FD-4990-B64A-106046985FE4}"/>
    <cellStyle name="Normal 7 2 3 3 3 4" xfId="3684" xr:uid="{DCE6D7B7-EA44-4F8B-B169-988E0086427E}"/>
    <cellStyle name="Normal 7 2 3 3 4" xfId="2542" xr:uid="{6AC7B227-3D74-4D73-B03C-35639078200A}"/>
    <cellStyle name="Normal 7 2 3 3 4 2" xfId="4977" xr:uid="{EB933BF2-587F-4430-BEF2-59AEE6AF24F6}"/>
    <cellStyle name="Normal 7 2 3 3 5" xfId="1517" xr:uid="{4C3E6189-057F-4087-8641-3FA2AC0D4CE0}"/>
    <cellStyle name="Normal 7 2 3 3 5 2" xfId="4107" xr:uid="{C9287C94-4B99-4FDA-9735-C7DEA66A37D9}"/>
    <cellStyle name="Normal 7 2 3 3 6" xfId="3470" xr:uid="{D752DC88-A60F-442C-9B07-2E732DA1981A}"/>
    <cellStyle name="Normal 7 2 3 4" xfId="594" xr:uid="{00000000-0005-0000-0000-000099020000}"/>
    <cellStyle name="Normal 7 2 3 4 2" xfId="805" xr:uid="{00000000-0005-0000-0000-00009A020000}"/>
    <cellStyle name="Normal 7 2 3 4 2 2" xfId="2922" xr:uid="{375E5929-7F82-4610-AB35-15D4C1C54328}"/>
    <cellStyle name="Normal 7 2 3 4 2 2 2" xfId="5357" xr:uid="{A4A06E76-CB5C-422A-8743-D1BEA7C67C49}"/>
    <cellStyle name="Normal 7 2 3 4 2 3" xfId="2084" xr:uid="{18E20465-4FAB-415D-845E-EDAAC833DC99}"/>
    <cellStyle name="Normal 7 2 3 4 2 3 2" xfId="4601" xr:uid="{2A38362F-CECF-4730-8A25-1DAF8B0CA0E9}"/>
    <cellStyle name="Normal 7 2 3 4 2 4" xfId="3737" xr:uid="{6EAA6142-6111-471E-AE29-E29FE13AFE18}"/>
    <cellStyle name="Normal 7 2 3 4 3" xfId="2544" xr:uid="{70A44431-884A-4020-8493-ADEFF3C16599}"/>
    <cellStyle name="Normal 7 2 3 4 3 2" xfId="4979" xr:uid="{5B18BF04-189B-4718-9CFF-E17FA1AD9CA3}"/>
    <cellStyle name="Normal 7 2 3 4 4" xfId="1519" xr:uid="{FDCABD45-3ECA-4A08-ADB2-912F15EF9D17}"/>
    <cellStyle name="Normal 7 2 3 4 4 2" xfId="4109" xr:uid="{D7E218B2-1146-4CAA-9377-4A2D09F8C34D}"/>
    <cellStyle name="Normal 7 2 3 4 5" xfId="3528" xr:uid="{FCB88532-9828-4F57-9BEC-A05532F66A31}"/>
    <cellStyle name="Normal 7 2 3 5" xfId="699" xr:uid="{00000000-0005-0000-0000-00009B020000}"/>
    <cellStyle name="Normal 7 2 3 5 2" xfId="2752" xr:uid="{06637E35-D224-4235-94CE-EE72570AE2CE}"/>
    <cellStyle name="Normal 7 2 3 5 2 2" xfId="5187" xr:uid="{40041532-C4E1-4D4E-97A2-CFFB824503B6}"/>
    <cellStyle name="Normal 7 2 3 5 3" xfId="1914" xr:uid="{AFE5FEAF-1A76-463F-B8BD-A09F39426D5C}"/>
    <cellStyle name="Normal 7 2 3 5 3 2" xfId="4431" xr:uid="{352CD10D-B51C-407C-A1DE-8B6D0861D88D}"/>
    <cellStyle name="Normal 7 2 3 5 4" xfId="3632" xr:uid="{A3D94A90-1882-4647-80A3-4F3ABB866DAC}"/>
    <cellStyle name="Normal 7 2 3 6" xfId="2539" xr:uid="{78AEEC5C-DC44-46F7-90B8-A65071BD1F4B}"/>
    <cellStyle name="Normal 7 2 3 6 2" xfId="4974" xr:uid="{F27B9826-9C13-4699-BD23-7A64DD25AD5B}"/>
    <cellStyle name="Normal 7 2 3 7" xfId="1514" xr:uid="{E544DC39-34B1-48A8-9393-912C107EC011}"/>
    <cellStyle name="Normal 7 2 3 7 2" xfId="4104" xr:uid="{08681E4F-BC4B-4DB9-8B1A-29592D7283E4}"/>
    <cellStyle name="Normal 7 2 3 8" xfId="3408" xr:uid="{5A1A077B-761C-489F-8915-9850F4E151F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2 2 2" xfId="5360" xr:uid="{CFFD207F-45BB-4F5F-97FF-EFBF4551605D}"/>
    <cellStyle name="Normal 7 2 4 2 2 2 3" xfId="3798" xr:uid="{F5FBDDC4-9DE6-4FC1-9333-41224870E65D}"/>
    <cellStyle name="Normal 7 2 4 2 2 3" xfId="2087" xr:uid="{3A428BD1-ED3A-4B71-9EC1-206B9053BA68}"/>
    <cellStyle name="Normal 7 2 4 2 2 3 2" xfId="4604" xr:uid="{8CD29A17-1B84-46AC-87B8-BAB78B72AF45}"/>
    <cellStyle name="Normal 7 2 4 2 2 4" xfId="3589" xr:uid="{73C6312E-2305-4C65-B642-FF4B3335303C}"/>
    <cellStyle name="Normal 7 2 4 2 3" xfId="760" xr:uid="{00000000-0005-0000-0000-0000A0020000}"/>
    <cellStyle name="Normal 7 2 4 2 3 2" xfId="2546" xr:uid="{F4F4B31F-69E9-4405-8C10-D3E35C192C04}"/>
    <cellStyle name="Normal 7 2 4 2 3 2 2" xfId="4981" xr:uid="{41E1CB45-E4B6-4958-A261-4C2871E9EB72}"/>
    <cellStyle name="Normal 7 2 4 2 3 3" xfId="3693" xr:uid="{CD513717-3661-4A96-A66D-2BEEC7DD32CE}"/>
    <cellStyle name="Normal 7 2 4 2 4" xfId="1521" xr:uid="{BF969319-36B5-4D1C-98FD-8A37E544124F}"/>
    <cellStyle name="Normal 7 2 4 2 4 2" xfId="4111" xr:uid="{2215314C-1301-46B0-A816-341FAF0A080C}"/>
    <cellStyle name="Normal 7 2 4 2 5" xfId="3479" xr:uid="{1942E8E9-16B3-4DC6-9F91-53DC537EE114}"/>
    <cellStyle name="Normal 7 2 4 3" xfId="603" xr:uid="{00000000-0005-0000-0000-0000A1020000}"/>
    <cellStyle name="Normal 7 2 4 3 2" xfId="814" xr:uid="{00000000-0005-0000-0000-0000A2020000}"/>
    <cellStyle name="Normal 7 2 4 3 2 2" xfId="2755" xr:uid="{DF685F57-1B51-4AFD-A10B-518C9CDEB3F3}"/>
    <cellStyle name="Normal 7 2 4 3 2 2 2" xfId="5190" xr:uid="{BBF40B6D-B1AA-402D-A483-D277831F5274}"/>
    <cellStyle name="Normal 7 2 4 3 2 3" xfId="3746" xr:uid="{10661BC6-1290-4B8F-A9C6-6C0C2C9A03B9}"/>
    <cellStyle name="Normal 7 2 4 3 3" xfId="1917" xr:uid="{3ED883D4-9624-4A96-A079-C5C2539B9E09}"/>
    <cellStyle name="Normal 7 2 4 3 3 2" xfId="4434" xr:uid="{3DF3E32B-1212-45F5-B088-7158A397F1BB}"/>
    <cellStyle name="Normal 7 2 4 3 4" xfId="3537" xr:uid="{6728B0BD-8EEF-47BB-AEA6-F679448F6DCE}"/>
    <cellStyle name="Normal 7 2 4 4" xfId="708" xr:uid="{00000000-0005-0000-0000-0000A3020000}"/>
    <cellStyle name="Normal 7 2 4 4 2" xfId="2545" xr:uid="{3ECB07E1-9B22-4756-ABF6-0E9AD6661976}"/>
    <cellStyle name="Normal 7 2 4 4 2 2" xfId="4980" xr:uid="{AF5CE6FA-BCEA-4C3B-B022-B7799DBB4039}"/>
    <cellStyle name="Normal 7 2 4 4 3" xfId="3641" xr:uid="{DC030146-10D9-4140-B9FE-FB3125A80662}"/>
    <cellStyle name="Normal 7 2 4 5" xfId="1520" xr:uid="{CED3EA18-9883-4629-AFAA-784449E07978}"/>
    <cellStyle name="Normal 7 2 4 5 2" xfId="4110" xr:uid="{0E015F02-32C5-418F-9595-DBDA5819CEE4}"/>
    <cellStyle name="Normal 7 2 4 6" xfId="3422" xr:uid="{551E63A3-C401-4123-A370-60868EC7DF59}"/>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2 2" xfId="5361" xr:uid="{50BAAF7B-3F72-45CB-BDF2-99A85E8BAF32}"/>
    <cellStyle name="Normal 7 2 5 2 2 3" xfId="2088" xr:uid="{B4C340F0-A9AC-4696-BB3F-6562B98633EB}"/>
    <cellStyle name="Normal 7 2 5 2 2 3 2" xfId="4605" xr:uid="{0BCA99DF-EBB4-47D3-A73D-1F2B424B22ED}"/>
    <cellStyle name="Normal 7 2 5 2 2 4" xfId="3772" xr:uid="{1C5CBEB3-162A-4A95-94AD-5503F0E7FC19}"/>
    <cellStyle name="Normal 7 2 5 2 3" xfId="2548" xr:uid="{0D9B9E60-AE1B-4915-9217-F64E6516FD6A}"/>
    <cellStyle name="Normal 7 2 5 2 3 2" xfId="4983" xr:uid="{18EBB1C6-D4BE-4445-9948-7422D50E73C4}"/>
    <cellStyle name="Normal 7 2 5 2 4" xfId="1523" xr:uid="{9FBE66B9-775C-4206-BF40-B9B56FA73D9C}"/>
    <cellStyle name="Normal 7 2 5 2 4 2" xfId="4113" xr:uid="{DA626F47-E734-4EA5-BAA1-955D47B6DB9E}"/>
    <cellStyle name="Normal 7 2 5 2 5" xfId="3563" xr:uid="{BD9D7CF6-AA9D-440B-A867-06FF9F650F21}"/>
    <cellStyle name="Normal 7 2 5 3" xfId="734" xr:uid="{00000000-0005-0000-0000-0000A7020000}"/>
    <cellStyle name="Normal 7 2 5 3 2" xfId="2756" xr:uid="{7F6D365B-4583-425B-BB28-313855D313C6}"/>
    <cellStyle name="Normal 7 2 5 3 2 2" xfId="5191" xr:uid="{9E1A89DE-37B4-4232-B4AD-6A05FC95A243}"/>
    <cellStyle name="Normal 7 2 5 3 3" xfId="1918" xr:uid="{8B64D760-0759-4739-9FA7-8061387C23A2}"/>
    <cellStyle name="Normal 7 2 5 3 3 2" xfId="4435" xr:uid="{2B32E873-5A48-4E79-AB86-E914C7291705}"/>
    <cellStyle name="Normal 7 2 5 3 4" xfId="3667" xr:uid="{6FCE58C4-49DD-4530-B712-9B54CE3BF347}"/>
    <cellStyle name="Normal 7 2 5 4" xfId="2547" xr:uid="{F1FB447C-5FB7-45BC-874E-D03AE9B87426}"/>
    <cellStyle name="Normal 7 2 5 4 2" xfId="4982" xr:uid="{965E3DD6-1BFF-4902-8115-7095E3AA1D1D}"/>
    <cellStyle name="Normal 7 2 5 5" xfId="1522" xr:uid="{C3483F77-242A-4B7E-AFCB-E80C9D7466C0}"/>
    <cellStyle name="Normal 7 2 5 5 2" xfId="4112" xr:uid="{8D06AAE5-6FF7-4BE7-8C8C-B289B57EC983}"/>
    <cellStyle name="Normal 7 2 5 6" xfId="3453" xr:uid="{46620A1F-8DB6-4F65-9B12-007362AB12FC}"/>
    <cellStyle name="Normal 7 2 6" xfId="577" xr:uid="{00000000-0005-0000-0000-0000A8020000}"/>
    <cellStyle name="Normal 7 2 6 2" xfId="788" xr:uid="{00000000-0005-0000-0000-0000A9020000}"/>
    <cellStyle name="Normal 7 2 6 2 2" xfId="2915" xr:uid="{13B0B70D-88B4-4E92-8EA3-C5A2A5A201E9}"/>
    <cellStyle name="Normal 7 2 6 2 2 2" xfId="5350" xr:uid="{B64BA4AB-E6C0-470C-9E6B-37FC996A141C}"/>
    <cellStyle name="Normal 7 2 6 2 3" xfId="2077" xr:uid="{7C70CBA0-CC29-45BA-88E2-8B4CE3E566EE}"/>
    <cellStyle name="Normal 7 2 6 2 3 2" xfId="4594" xr:uid="{F9AB2204-E4A1-4900-B1E3-8577A7804F98}"/>
    <cellStyle name="Normal 7 2 6 2 4" xfId="3720" xr:uid="{7DDD3A65-B1BC-45A7-A0AC-FACF0D00DBC9}"/>
    <cellStyle name="Normal 7 2 6 3" xfId="2549" xr:uid="{3336F64D-C370-457F-B436-CD6AACE2B16D}"/>
    <cellStyle name="Normal 7 2 6 3 2" xfId="4984" xr:uid="{10C43159-6296-4F32-81E6-23EE0F2893EC}"/>
    <cellStyle name="Normal 7 2 6 4" xfId="1524" xr:uid="{9E70955A-CC7A-4CBC-A328-998D8D32C397}"/>
    <cellStyle name="Normal 7 2 6 4 2" xfId="4114" xr:uid="{8000E96B-4E83-4443-AF4A-D5CAAA230A76}"/>
    <cellStyle name="Normal 7 2 6 5" xfId="3511" xr:uid="{9FC7C760-65A1-4471-8663-25C5B445F4CE}"/>
    <cellStyle name="Normal 7 2 7" xfId="682" xr:uid="{00000000-0005-0000-0000-0000AA020000}"/>
    <cellStyle name="Normal 7 2 7 2" xfId="2745" xr:uid="{1429E987-9F9C-49B0-BE0C-66A6110FDBC4}"/>
    <cellStyle name="Normal 7 2 7 2 2" xfId="5180" xr:uid="{F6B81F8B-386E-4104-8DB6-D9A1887ADE0E}"/>
    <cellStyle name="Normal 7 2 7 3" xfId="1907" xr:uid="{DF6487A3-B16C-4763-B277-E14AA969AC6F}"/>
    <cellStyle name="Normal 7 2 7 3 2" xfId="4424" xr:uid="{49E191F3-07A5-46DE-8CAD-E9A7952B1576}"/>
    <cellStyle name="Normal 7 2 7 4" xfId="3615" xr:uid="{BEF5DBAE-5F88-4A69-9A04-908114D96780}"/>
    <cellStyle name="Normal 7 2 8" xfId="2243" xr:uid="{893C0F17-42D6-42EB-A481-B44527DFEA5D}"/>
    <cellStyle name="Normal 7 2 8 2" xfId="4711" xr:uid="{10B67621-591C-48B3-A26F-7C35E9FBC303}"/>
    <cellStyle name="Normal 7 2 9" xfId="2526" xr:uid="{9388EAAC-FA57-49AC-B418-3E70B450DF63}"/>
    <cellStyle name="Normal 7 2 9 2" xfId="4961" xr:uid="{4D912E7B-EE2C-4526-AD80-0CD03D3F37D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2 2 2" xfId="3802" xr:uid="{2819A437-1C4F-4A12-AA0E-3217401B34AB}"/>
    <cellStyle name="Normal 7 3 2 2 2 3" xfId="3593" xr:uid="{A1DEF198-B119-4387-9590-B7127AD32D01}"/>
    <cellStyle name="Normal 7 3 2 2 3" xfId="764" xr:uid="{00000000-0005-0000-0000-0000B0020000}"/>
    <cellStyle name="Normal 7 3 2 2 3 2" xfId="3697" xr:uid="{9193ED8A-FB01-45E9-892F-BC540CF0889C}"/>
    <cellStyle name="Normal 7 3 2 2 4" xfId="3483" xr:uid="{C2B352D2-980C-4F10-BFE2-22528CE76179}"/>
    <cellStyle name="Normal 7 3 2 3" xfId="607" xr:uid="{00000000-0005-0000-0000-0000B1020000}"/>
    <cellStyle name="Normal 7 3 2 3 2" xfId="818" xr:uid="{00000000-0005-0000-0000-0000B2020000}"/>
    <cellStyle name="Normal 7 3 2 3 2 2" xfId="3750" xr:uid="{28B5999F-2B54-4A54-8866-6D15BD4AE79D}"/>
    <cellStyle name="Normal 7 3 2 3 3" xfId="3541" xr:uid="{50A882EF-9EB7-4732-A3C3-488C4362458A}"/>
    <cellStyle name="Normal 7 3 2 4" xfId="712" xr:uid="{00000000-0005-0000-0000-0000B3020000}"/>
    <cellStyle name="Normal 7 3 2 4 2" xfId="3645" xr:uid="{B86786E1-24E9-4B55-A9F5-4C3AF5BF2330}"/>
    <cellStyle name="Normal 7 3 2 5" xfId="3426" xr:uid="{14B4ACD1-EC4C-48C4-BA71-92CB5AD226D6}"/>
    <cellStyle name="Normal 7 3 3" xfId="477" xr:uid="{00000000-0005-0000-0000-0000B4020000}"/>
    <cellStyle name="Normal 7 3 3 2" xfId="633" xr:uid="{00000000-0005-0000-0000-0000B5020000}"/>
    <cellStyle name="Normal 7 3 3 2 2" xfId="844" xr:uid="{00000000-0005-0000-0000-0000B6020000}"/>
    <cellStyle name="Normal 7 3 3 2 2 2" xfId="3776" xr:uid="{F782EDA4-C040-444E-91F0-EE31D31E5CE2}"/>
    <cellStyle name="Normal 7 3 3 2 3" xfId="3567" xr:uid="{A7B48E1B-AF25-425D-87E1-7A1B15C2D546}"/>
    <cellStyle name="Normal 7 3 3 3" xfId="738" xr:uid="{00000000-0005-0000-0000-0000B7020000}"/>
    <cellStyle name="Normal 7 3 3 3 2" xfId="3671" xr:uid="{74A044C8-51C8-451F-A0E8-3A3FBDE4B12C}"/>
    <cellStyle name="Normal 7 3 3 4" xfId="3457" xr:uid="{E9384372-CF23-46C2-8BA6-C60B01475893}"/>
    <cellStyle name="Normal 7 3 4" xfId="581" xr:uid="{00000000-0005-0000-0000-0000B8020000}"/>
    <cellStyle name="Normal 7 3 4 2" xfId="792" xr:uid="{00000000-0005-0000-0000-0000B9020000}"/>
    <cellStyle name="Normal 7 3 4 2 2" xfId="3724" xr:uid="{797BCF25-5FB5-4FE7-8A94-BAA924AC499C}"/>
    <cellStyle name="Normal 7 3 4 3" xfId="3515" xr:uid="{3D145D96-71F8-44F2-A43C-901834ED1F08}"/>
    <cellStyle name="Normal 7 3 5" xfId="686" xr:uid="{00000000-0005-0000-0000-0000BA020000}"/>
    <cellStyle name="Normal 7 3 5 2" xfId="3619" xr:uid="{60C27510-20DE-4713-9F57-16251EB9347F}"/>
    <cellStyle name="Normal 7 3 6" xfId="1525" xr:uid="{89C30F3D-5D83-4DC4-8B7A-1397405C42FE}"/>
    <cellStyle name="Normal 7 3 7" xfId="3395" xr:uid="{9CD7D53B-EE82-4A11-B9B0-482667AAEF67}"/>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2 2 2" xfId="3811" xr:uid="{597E7413-CBE6-431E-84CE-6DDDBE64FA01}"/>
    <cellStyle name="Normal 7 4 2 2 2 3" xfId="3602" xr:uid="{CD8E2BE4-58EE-4DAF-818A-7DA8BC121616}"/>
    <cellStyle name="Normal 7 4 2 2 3" xfId="773" xr:uid="{00000000-0005-0000-0000-0000C0020000}"/>
    <cellStyle name="Normal 7 4 2 2 3 2" xfId="3706" xr:uid="{19D93A45-148D-49A9-9D3D-23278F6FD346}"/>
    <cellStyle name="Normal 7 4 2 2 4" xfId="3492" xr:uid="{752FE8A3-CA24-4979-BC5B-6F2E6C2FE274}"/>
    <cellStyle name="Normal 7 4 2 3" xfId="616" xr:uid="{00000000-0005-0000-0000-0000C1020000}"/>
    <cellStyle name="Normal 7 4 2 3 2" xfId="827" xr:uid="{00000000-0005-0000-0000-0000C2020000}"/>
    <cellStyle name="Normal 7 4 2 3 2 2" xfId="3759" xr:uid="{708E816A-D164-4CEC-8D48-3A66EB627F72}"/>
    <cellStyle name="Normal 7 4 2 3 3" xfId="3550" xr:uid="{9B487D8A-7367-4212-BCFC-7B7439EB9361}"/>
    <cellStyle name="Normal 7 4 2 4" xfId="721" xr:uid="{00000000-0005-0000-0000-0000C3020000}"/>
    <cellStyle name="Normal 7 4 2 4 2" xfId="3654" xr:uid="{B985090B-15F7-4BB3-A942-B8CB208D9B49}"/>
    <cellStyle name="Normal 7 4 2 5" xfId="3435" xr:uid="{75661E8E-E85A-413A-870C-336787BC185E}"/>
    <cellStyle name="Normal 7 4 3" xfId="486" xr:uid="{00000000-0005-0000-0000-0000C4020000}"/>
    <cellStyle name="Normal 7 4 3 2" xfId="642" xr:uid="{00000000-0005-0000-0000-0000C5020000}"/>
    <cellStyle name="Normal 7 4 3 2 2" xfId="853" xr:uid="{00000000-0005-0000-0000-0000C6020000}"/>
    <cellStyle name="Normal 7 4 3 2 2 2" xfId="3785" xr:uid="{5A39BE03-CA51-4021-BB0A-237DE855272E}"/>
    <cellStyle name="Normal 7 4 3 2 3" xfId="3576" xr:uid="{FD74064B-1DBD-4256-AF86-36831DD6801F}"/>
    <cellStyle name="Normal 7 4 3 3" xfId="747" xr:uid="{00000000-0005-0000-0000-0000C7020000}"/>
    <cellStyle name="Normal 7 4 3 3 2" xfId="3680" xr:uid="{6DB5FD83-2A59-4284-B13A-C66FE42E2418}"/>
    <cellStyle name="Normal 7 4 3 4" xfId="3466" xr:uid="{0D694AB8-95A1-48EE-8CA0-1DBC206C4A8F}"/>
    <cellStyle name="Normal 7 4 4" xfId="590" xr:uid="{00000000-0005-0000-0000-0000C8020000}"/>
    <cellStyle name="Normal 7 4 4 2" xfId="801" xr:uid="{00000000-0005-0000-0000-0000C9020000}"/>
    <cellStyle name="Normal 7 4 4 2 2" xfId="3733" xr:uid="{8E09E1B9-63B2-445E-B678-FB8122CCCA19}"/>
    <cellStyle name="Normal 7 4 4 3" xfId="3524" xr:uid="{B2AE0530-D53E-4A31-92D4-2001F3F77712}"/>
    <cellStyle name="Normal 7 4 5" xfId="695" xr:uid="{00000000-0005-0000-0000-0000CA020000}"/>
    <cellStyle name="Normal 7 4 5 2" xfId="3628" xr:uid="{7D74D3B6-D765-4A60-BDAE-12F484150ABC}"/>
    <cellStyle name="Normal 7 4 6" xfId="1526" xr:uid="{3F9DF255-B212-404E-B7E3-F74B39CAE464}"/>
    <cellStyle name="Normal 7 4 7" xfId="3404" xr:uid="{464D0028-E6D5-42C4-8710-2F3BDB0A7A56}"/>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2 2" xfId="3794" xr:uid="{96AD2447-013D-4F50-977B-C56A9B5ADFCA}"/>
    <cellStyle name="Normal 7 5 2 2 3" xfId="2914" xr:uid="{E506C560-97B5-4166-B2AC-533FD9BD7C60}"/>
    <cellStyle name="Normal 7 5 2 2 3 2" xfId="5349" xr:uid="{3CE2D7C1-32DB-4908-9846-63A77676034C}"/>
    <cellStyle name="Normal 7 5 2 2 4" xfId="3585" xr:uid="{D2031F57-711C-46F6-AC99-149CBD0FC027}"/>
    <cellStyle name="Normal 7 5 2 3" xfId="756" xr:uid="{00000000-0005-0000-0000-0000CF020000}"/>
    <cellStyle name="Normal 7 5 2 3 2" xfId="3689" xr:uid="{05B8987F-8F3B-4A00-8301-D225CD7516F5}"/>
    <cellStyle name="Normal 7 5 2 4" xfId="2076" xr:uid="{3953BDF3-BF94-4F7A-AB7E-03C6D4FD3704}"/>
    <cellStyle name="Normal 7 5 2 4 2" xfId="4593" xr:uid="{4D67A351-0B71-4E31-9355-E98419E9DA3E}"/>
    <cellStyle name="Normal 7 5 2 5" xfId="3475" xr:uid="{E0BA755D-EC14-4E87-B07F-F09176630922}"/>
    <cellStyle name="Normal 7 5 3" xfId="599" xr:uid="{00000000-0005-0000-0000-0000D0020000}"/>
    <cellStyle name="Normal 7 5 3 2" xfId="810" xr:uid="{00000000-0005-0000-0000-0000D1020000}"/>
    <cellStyle name="Normal 7 5 3 2 2" xfId="3742" xr:uid="{7084ABC8-B42E-4F92-A98B-CDFB317C7E82}"/>
    <cellStyle name="Normal 7 5 3 3" xfId="2550" xr:uid="{1C9155E2-49A2-4AA7-8CF1-B8B1276919B7}"/>
    <cellStyle name="Normal 7 5 3 3 2" xfId="4985" xr:uid="{145E3244-DFDA-4D39-AA83-687C8359C0FF}"/>
    <cellStyle name="Normal 7 5 3 4" xfId="3533" xr:uid="{37DD618C-6498-492E-946B-0066BB2C887E}"/>
    <cellStyle name="Normal 7 5 4" xfId="704" xr:uid="{00000000-0005-0000-0000-0000D2020000}"/>
    <cellStyle name="Normal 7 5 4 2" xfId="3637" xr:uid="{39D1B6D0-389D-491B-884A-F430B7AEB868}"/>
    <cellStyle name="Normal 7 5 5" xfId="1527" xr:uid="{D1C42708-A040-476D-A32A-B1E3F5C7A120}"/>
    <cellStyle name="Normal 7 5 5 2" xfId="4115" xr:uid="{37E69361-0E11-4A10-A133-ABC18E3BDD5D}"/>
    <cellStyle name="Normal 7 5 6" xfId="3418" xr:uid="{989FFFBD-CB8C-484E-A108-02AF0FDBD3CD}"/>
    <cellStyle name="Normal 7 6" xfId="469" xr:uid="{00000000-0005-0000-0000-0000D3020000}"/>
    <cellStyle name="Normal 7 6 2" xfId="625" xr:uid="{00000000-0005-0000-0000-0000D4020000}"/>
    <cellStyle name="Normal 7 6 2 2" xfId="836" xr:uid="{00000000-0005-0000-0000-0000D5020000}"/>
    <cellStyle name="Normal 7 6 2 2 2" xfId="3768" xr:uid="{A00DA7CA-6A72-4F93-8C5C-5D1E198012E5}"/>
    <cellStyle name="Normal 7 6 2 3" xfId="2744" xr:uid="{A11BA143-981A-443C-88C4-D2F1C2054CCF}"/>
    <cellStyle name="Normal 7 6 2 3 2" xfId="5179" xr:uid="{AD879398-4909-4D2B-A2C8-9A71283A181F}"/>
    <cellStyle name="Normal 7 6 2 4" xfId="3559" xr:uid="{128F1541-770E-447D-9318-BD5583337B0B}"/>
    <cellStyle name="Normal 7 6 3" xfId="730" xr:uid="{00000000-0005-0000-0000-0000D6020000}"/>
    <cellStyle name="Normal 7 6 3 2" xfId="3663" xr:uid="{FE3739B4-8958-4AB5-8065-6293FB2719AC}"/>
    <cellStyle name="Normal 7 6 4" xfId="1906" xr:uid="{A594E3BE-C14F-4B4C-A81E-5438885CB2F4}"/>
    <cellStyle name="Normal 7 6 4 2" xfId="4423" xr:uid="{1C19210B-70E2-411E-8E6C-020FD2D306C0}"/>
    <cellStyle name="Normal 7 6 5" xfId="3449" xr:uid="{FE337D58-B5A7-4D69-8693-012DB9479B85}"/>
    <cellStyle name="Normal 7 7" xfId="573" xr:uid="{00000000-0005-0000-0000-0000D7020000}"/>
    <cellStyle name="Normal 7 7 2" xfId="784" xr:uid="{00000000-0005-0000-0000-0000D8020000}"/>
    <cellStyle name="Normal 7 7 2 2" xfId="3716" xr:uid="{8C73611C-B572-4536-80AD-3302A450DF7B}"/>
    <cellStyle name="Normal 7 7 3" xfId="2242" xr:uid="{D13D8FB6-7692-4C7F-A788-4DA09E09AE3A}"/>
    <cellStyle name="Normal 7 7 3 2" xfId="4710" xr:uid="{98CD2EB5-640D-4648-92BA-511539D3B0C1}"/>
    <cellStyle name="Normal 7 7 4" xfId="3507" xr:uid="{690CE31E-468C-4724-8CDE-22AD24066A6D}"/>
    <cellStyle name="Normal 7 8" xfId="678" xr:uid="{00000000-0005-0000-0000-0000D9020000}"/>
    <cellStyle name="Normal 7 8 2" xfId="2525" xr:uid="{307702F0-915A-45DC-8EAA-52BC1DCD88E3}"/>
    <cellStyle name="Normal 7 8 2 2" xfId="4960" xr:uid="{56604B3D-7F53-44CE-B839-F0052EF025F8}"/>
    <cellStyle name="Normal 7 8 3" xfId="3611" xr:uid="{7C44EECB-B656-483D-A12E-5EC1275FEBEB}"/>
    <cellStyle name="Normal 7 9" xfId="1500" xr:uid="{D57F8E0A-E2ED-4FC7-A49E-A7169DADE1DC}"/>
    <cellStyle name="Normal 7 9 2" xfId="4090" xr:uid="{3D1A896C-6C91-4753-AAB4-688960279892}"/>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2 2 2" xfId="5364" xr:uid="{40C0794F-39AC-4A22-B333-F72AB0F80731}"/>
    <cellStyle name="Normal 8 2 2 2 2 3" xfId="4608" xr:uid="{34E14FBB-2058-4AA4-81C3-1F3326E33916}"/>
    <cellStyle name="Normal 8 2 2 2 3" xfId="2554" xr:uid="{F10B9456-7231-444D-B946-055649E5F1E1}"/>
    <cellStyle name="Normal 8 2 2 2 3 2" xfId="4989" xr:uid="{3514900E-CB51-481D-A7B3-6139F0685D08}"/>
    <cellStyle name="Normal 8 2 2 2 4" xfId="4119" xr:uid="{3A91AB09-90E1-4CCB-9EC7-3725D0FA4092}"/>
    <cellStyle name="Normal 8 2 2 3" xfId="1921" xr:uid="{88D377B0-EFC1-476B-A607-4C1584248006}"/>
    <cellStyle name="Normal 8 2 2 3 2" xfId="2759" xr:uid="{5B58BBF9-03A2-4F04-80CD-00A99E1E8245}"/>
    <cellStyle name="Normal 8 2 2 3 2 2" xfId="5194" xr:uid="{4D01309D-7585-49C8-A6E0-AC810C326B28}"/>
    <cellStyle name="Normal 8 2 2 3 3" xfId="4438" xr:uid="{280FEB0A-88FC-4DFB-988C-1E831F9417D9}"/>
    <cellStyle name="Normal 8 2 2 4" xfId="2553" xr:uid="{7BED0038-A156-4411-BB8D-A4B1B41A8244}"/>
    <cellStyle name="Normal 8 2 2 4 2" xfId="4988" xr:uid="{8490C167-EFFB-45EC-9717-D78C90CEE873}"/>
    <cellStyle name="Normal 8 2 2 5" xfId="4118" xr:uid="{5F93E948-47D6-40BC-A85B-07F3D506D2E3}"/>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2 2 2" xfId="5365" xr:uid="{2CBD1E40-C6AB-4681-BDD1-BF60775A4741}"/>
    <cellStyle name="Normal 8 2 3 2 2 3" xfId="4609" xr:uid="{4EB83086-FF4F-4A44-AF3C-CBDE22C4889C}"/>
    <cellStyle name="Normal 8 2 3 2 3" xfId="2556" xr:uid="{6EE82F89-8A9F-4044-A9AB-0E5A080064C3}"/>
    <cellStyle name="Normal 8 2 3 2 3 2" xfId="4991" xr:uid="{C1477C92-DC3B-4172-93FF-C166DC32436F}"/>
    <cellStyle name="Normal 8 2 3 2 4" xfId="4121" xr:uid="{155ADE1F-E4E0-49D8-8B1A-565B6A8CF3FC}"/>
    <cellStyle name="Normal 8 2 3 3" xfId="1922" xr:uid="{0B0D46D4-C369-4BD9-8A90-754E20DE686B}"/>
    <cellStyle name="Normal 8 2 3 3 2" xfId="2760" xr:uid="{F24464ED-9587-41BB-A952-6578F8F25107}"/>
    <cellStyle name="Normal 8 2 3 3 2 2" xfId="5195" xr:uid="{5EF19745-6D10-4C5E-844B-1E3D024DC84F}"/>
    <cellStyle name="Normal 8 2 3 3 3" xfId="4439" xr:uid="{48840FC2-4AA3-4FCD-BE1D-45224D7999E9}"/>
    <cellStyle name="Normal 8 2 3 4" xfId="2555" xr:uid="{915E1339-F927-4101-BA61-D216CEDFD08C}"/>
    <cellStyle name="Normal 8 2 3 4 2" xfId="4990" xr:uid="{69C4AD85-E3D9-48D2-9DBE-7B054147AD66}"/>
    <cellStyle name="Normal 8 2 3 5" xfId="4120" xr:uid="{E5A0C7CB-F563-4208-BC8F-DC1E4F45A80B}"/>
    <cellStyle name="Normal 8 2 4" xfId="1534" xr:uid="{D006C071-D198-49CF-90FC-A96B554E0920}"/>
    <cellStyle name="Normal 8 2 4 2" xfId="2090" xr:uid="{6F538240-B100-4448-8199-26587A0D054F}"/>
    <cellStyle name="Normal 8 2 4 2 2" xfId="2928" xr:uid="{40559DE5-F40F-42DA-8E34-6D9C5B311BCC}"/>
    <cellStyle name="Normal 8 2 4 2 2 2" xfId="5363" xr:uid="{A34B67A1-5B4A-4278-BC5E-BDB249F82B2B}"/>
    <cellStyle name="Normal 8 2 4 2 3" xfId="4607" xr:uid="{291B68CD-F8BA-40CF-8325-1B5BCFCDDDF1}"/>
    <cellStyle name="Normal 8 2 4 3" xfId="2557" xr:uid="{69EA9506-9EC8-445E-94A8-7797C51F1D71}"/>
    <cellStyle name="Normal 8 2 4 3 2" xfId="4992" xr:uid="{4BD2EB6D-D37B-469B-A61B-9579E0572662}"/>
    <cellStyle name="Normal 8 2 4 4" xfId="4122" xr:uid="{2A84D46F-8045-4301-8103-A420A430B54C}"/>
    <cellStyle name="Normal 8 2 5" xfId="1920" xr:uid="{E2EEABFE-CB2A-47BA-A28C-2306E53B78CE}"/>
    <cellStyle name="Normal 8 2 5 2" xfId="2758" xr:uid="{241CD68D-A374-4F8E-A74D-36139FBC7C0B}"/>
    <cellStyle name="Normal 8 2 5 2 2" xfId="5193" xr:uid="{82DFCCBD-0E7D-45DC-82F9-CF6F22C6B2A2}"/>
    <cellStyle name="Normal 8 2 5 3" xfId="4437" xr:uid="{C1928C89-4EE1-4011-A84C-9FDA4166048E}"/>
    <cellStyle name="Normal 8 2 6" xfId="2245" xr:uid="{993412EA-D78C-47E5-A8B9-7DD005E8613C}"/>
    <cellStyle name="Normal 8 2 6 2" xfId="4713" xr:uid="{647455BB-A74A-4170-BB35-C0C7196A2104}"/>
    <cellStyle name="Normal 8 2 7" xfId="2552" xr:uid="{E84FB534-ED10-47AB-B85F-48E2B9DF01E5}"/>
    <cellStyle name="Normal 8 2 7 2" xfId="4987" xr:uid="{3FC1FA3C-C28D-4ED8-93A6-CF187918CB56}"/>
    <cellStyle name="Normal 8 2 8" xfId="1529" xr:uid="{BDB9A11D-A2E9-42F0-852C-4C8FCB2359F7}"/>
    <cellStyle name="Normal 8 2 8 2" xfId="4117" xr:uid="{71F63154-E95B-459D-9559-44A6659BD5FB}"/>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2 2 2" xfId="5366" xr:uid="{95007E7E-570A-4F44-AD35-431A61844D57}"/>
    <cellStyle name="Normal 8 3 2 2 3" xfId="4610" xr:uid="{F151F13B-DA2E-498F-97EB-D9EE9D619131}"/>
    <cellStyle name="Normal 8 3 2 3" xfId="2559" xr:uid="{B9E13225-E94F-45BE-A760-A5D10B3C42A5}"/>
    <cellStyle name="Normal 8 3 2 3 2" xfId="4994" xr:uid="{7DE9C860-59B1-49ED-9204-757732495F9E}"/>
    <cellStyle name="Normal 8 3 2 4" xfId="4124" xr:uid="{238622E7-B120-43B2-9E94-29B2E26D1F00}"/>
    <cellStyle name="Normal 8 3 3" xfId="1923" xr:uid="{47F1BC2B-8B65-45E8-8B4C-02D3B364CA83}"/>
    <cellStyle name="Normal 8 3 3 2" xfId="2761" xr:uid="{C4C74741-79AF-4381-9585-98EADB1DF708}"/>
    <cellStyle name="Normal 8 3 3 2 2" xfId="5196" xr:uid="{5B6422BA-04F3-4887-BFD5-B7C0110F18E5}"/>
    <cellStyle name="Normal 8 3 3 3" xfId="4440" xr:uid="{B2BA9242-F64D-4277-A52F-8FB9D7B8950C}"/>
    <cellStyle name="Normal 8 3 4" xfId="2558" xr:uid="{803D7582-2419-4E06-A526-945DE127505C}"/>
    <cellStyle name="Normal 8 3 4 2" xfId="4993" xr:uid="{10B7F9F4-9F3C-462F-965D-4954C277D0B8}"/>
    <cellStyle name="Normal 8 3 5" xfId="4123" xr:uid="{3C068339-EEB9-4BE1-B2F7-78C87CA14406}"/>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2 2 2" xfId="5367" xr:uid="{A4602990-5753-40C6-BF6C-CC646C771836}"/>
    <cellStyle name="Normal 8 4 2 2 3" xfId="4611" xr:uid="{E82EBD7B-9AF0-4672-9C2A-B96FC9025F19}"/>
    <cellStyle name="Normal 8 4 2 3" xfId="2561" xr:uid="{083A2605-4306-4547-9C63-09802E48865D}"/>
    <cellStyle name="Normal 8 4 2 3 2" xfId="4996" xr:uid="{9774F1F3-7601-4598-A4F2-0F54DD7A9C05}"/>
    <cellStyle name="Normal 8 4 2 4" xfId="4126" xr:uid="{8F7D7348-E37E-4563-9379-CF774AC09130}"/>
    <cellStyle name="Normal 8 4 3" xfId="1924" xr:uid="{CCA79CA0-1C31-4160-8CEF-1409DA89ABAF}"/>
    <cellStyle name="Normal 8 4 3 2" xfId="2762" xr:uid="{32BC2F2F-FCC4-4E68-97D9-FF88273FAAF4}"/>
    <cellStyle name="Normal 8 4 3 2 2" xfId="5197" xr:uid="{2EB2E6B2-0CE0-402A-9743-59675A566609}"/>
    <cellStyle name="Normal 8 4 3 3" xfId="4441" xr:uid="{8DC5BDFA-0DB6-45B4-B3AB-51A77DB1F664}"/>
    <cellStyle name="Normal 8 4 4" xfId="2560" xr:uid="{BE65E5DF-355D-4D81-9B0D-0B7CA3A9604D}"/>
    <cellStyle name="Normal 8 4 4 2" xfId="4995" xr:uid="{F3CBF87D-A3EF-4EB8-B1A2-E66332C917C5}"/>
    <cellStyle name="Normal 8 4 5" xfId="4125" xr:uid="{56B3C423-6F3C-4EAD-8571-1A2751877CB7}"/>
    <cellStyle name="Normal 8 5" xfId="1539" xr:uid="{D357DC18-202D-4C6B-BFA4-9487F88D79A5}"/>
    <cellStyle name="Normal 8 5 2" xfId="2089" xr:uid="{DCB062A9-3958-4914-BF81-58513C1CDBC9}"/>
    <cellStyle name="Normal 8 5 2 2" xfId="2927" xr:uid="{39E19137-A659-4DC6-8AE5-10CEECFB1423}"/>
    <cellStyle name="Normal 8 5 2 2 2" xfId="5362" xr:uid="{04789B3F-656A-4234-B3FA-23A52F8D0007}"/>
    <cellStyle name="Normal 8 5 2 3" xfId="4606" xr:uid="{35773A35-1F5F-44F2-8416-91B3B79B2521}"/>
    <cellStyle name="Normal 8 5 3" xfId="2562" xr:uid="{AC260160-43EB-494C-A75C-288D4F505B49}"/>
    <cellStyle name="Normal 8 5 3 2" xfId="4997" xr:uid="{0CE93076-31D6-4428-8037-79E7DC42A74B}"/>
    <cellStyle name="Normal 8 5 4" xfId="4127" xr:uid="{E7A369CE-0553-4FFD-BFA0-CF1A4E6DA377}"/>
    <cellStyle name="Normal 8 6" xfId="1919" xr:uid="{275AF734-ED45-4B21-9373-E30F3BA34075}"/>
    <cellStyle name="Normal 8 6 2" xfId="2757" xr:uid="{28A57076-8763-4938-B2B2-FE726F0FC71A}"/>
    <cellStyle name="Normal 8 6 2 2" xfId="5192" xr:uid="{E1D3DC68-C502-4AE3-B4BE-1F06122B2BAE}"/>
    <cellStyle name="Normal 8 6 3" xfId="4436" xr:uid="{9578127D-A16C-4F57-AE76-C4990CAE331D}"/>
    <cellStyle name="Normal 8 7" xfId="2244" xr:uid="{1CB932F5-B1EA-42E9-AE20-5F93357BE6FD}"/>
    <cellStyle name="Normal 8 7 2" xfId="4712" xr:uid="{D0CD6187-9B03-4D24-827F-728137A6AC38}"/>
    <cellStyle name="Normal 8 8" xfId="2551" xr:uid="{8481FA03-2E55-4DB2-A3A9-7D12F408A00E}"/>
    <cellStyle name="Normal 8 8 2" xfId="4986" xr:uid="{251B1A75-224E-4A4F-9C8D-CEBF568D65A4}"/>
    <cellStyle name="Normal 8 9" xfId="1528" xr:uid="{DAF95CE8-B2B9-4E00-B32B-705102AA2D3F}"/>
    <cellStyle name="Normal 8 9 2" xfId="4116" xr:uid="{F8F9473C-B923-403B-BFF4-43C7608CEE9A}"/>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8 2" xfId="4721" xr:uid="{89E639DA-5B38-4342-A88C-EA8B695F5188}"/>
    <cellStyle name="Normal 89" xfId="981" xr:uid="{E22A1F9D-E963-4307-8C4B-0CC408DE39C0}"/>
    <cellStyle name="Normal 89 2" xfId="3868" xr:uid="{0889C6F4-BFA6-4EC1-BD0E-DDF3E45DE03E}"/>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2 2 2" xfId="3804" xr:uid="{A326AD5E-24BD-4572-96D0-ECA353168B68}"/>
    <cellStyle name="Normal 9 2 2 2 2 3" xfId="3595" xr:uid="{686FAA7E-339B-4C93-BD69-7BD8E598434D}"/>
    <cellStyle name="Normal 9 2 2 2 3" xfId="766" xr:uid="{00000000-0005-0000-0000-0000E2020000}"/>
    <cellStyle name="Normal 9 2 2 2 3 2" xfId="3699" xr:uid="{DF1C7F32-7915-45C6-AD58-58CDAB4D230B}"/>
    <cellStyle name="Normal 9 2 2 2 4" xfId="3485" xr:uid="{AC680DEB-7467-4BBB-8B7D-953EACD0FB36}"/>
    <cellStyle name="Normal 9 2 2 3" xfId="609" xr:uid="{00000000-0005-0000-0000-0000E3020000}"/>
    <cellStyle name="Normal 9 2 2 3 2" xfId="820" xr:uid="{00000000-0005-0000-0000-0000E4020000}"/>
    <cellStyle name="Normal 9 2 2 3 2 2" xfId="3752" xr:uid="{F86CCC86-E46D-4461-B847-115B36113787}"/>
    <cellStyle name="Normal 9 2 2 3 3" xfId="3543" xr:uid="{D8F196A6-E8DA-41FF-8226-200837F462DF}"/>
    <cellStyle name="Normal 9 2 2 4" xfId="714" xr:uid="{00000000-0005-0000-0000-0000E5020000}"/>
    <cellStyle name="Normal 9 2 2 4 2" xfId="3647" xr:uid="{645E2D50-772E-47FD-91B6-EED614193A70}"/>
    <cellStyle name="Normal 9 2 2 5" xfId="3428" xr:uid="{3E67592B-E41B-41B0-8610-AAD694FD9323}"/>
    <cellStyle name="Normal 9 2 3" xfId="479" xr:uid="{00000000-0005-0000-0000-0000E6020000}"/>
    <cellStyle name="Normal 9 2 3 2" xfId="635" xr:uid="{00000000-0005-0000-0000-0000E7020000}"/>
    <cellStyle name="Normal 9 2 3 2 2" xfId="846" xr:uid="{00000000-0005-0000-0000-0000E8020000}"/>
    <cellStyle name="Normal 9 2 3 2 2 2" xfId="3778" xr:uid="{DA86C131-470F-4ADE-B228-4956AB4173CB}"/>
    <cellStyle name="Normal 9 2 3 2 3" xfId="3569" xr:uid="{72AE38BA-CEED-43D6-80B9-54667EF4D8B9}"/>
    <cellStyle name="Normal 9 2 3 3" xfId="740" xr:uid="{00000000-0005-0000-0000-0000E9020000}"/>
    <cellStyle name="Normal 9 2 3 3 2" xfId="3673" xr:uid="{B6BB037E-3B27-4BBB-9767-456CA422A63C}"/>
    <cellStyle name="Normal 9 2 3 4" xfId="3459" xr:uid="{56B75B48-9EB5-4B81-95A6-E842E162853D}"/>
    <cellStyle name="Normal 9 2 4" xfId="583" xr:uid="{00000000-0005-0000-0000-0000EA020000}"/>
    <cellStyle name="Normal 9 2 4 2" xfId="794" xr:uid="{00000000-0005-0000-0000-0000EB020000}"/>
    <cellStyle name="Normal 9 2 4 2 2" xfId="3726" xr:uid="{0764790B-BB5D-41CC-AA24-51AE8DA50EBB}"/>
    <cellStyle name="Normal 9 2 4 3" xfId="3517" xr:uid="{51369476-947D-4FCA-B53E-8137F1E30163}"/>
    <cellStyle name="Normal 9 2 5" xfId="688" xr:uid="{00000000-0005-0000-0000-0000EC020000}"/>
    <cellStyle name="Normal 9 2 5 2" xfId="3621" xr:uid="{1A03BFB4-92A3-43C2-ABC0-6F84F5C0A7D5}"/>
    <cellStyle name="Normal 9 2 6" xfId="2205" xr:uid="{BC673DEF-5D04-4C53-A370-7F1FE7659104}"/>
    <cellStyle name="Normal 9 2 6 2" xfId="4695" xr:uid="{2D1400B8-864C-47BC-B39A-36538B98401D}"/>
    <cellStyle name="Normal 9 2 7" xfId="3397" xr:uid="{104C6515-142E-4289-9C5E-F0382579BEE3}"/>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2 2 2" xfId="3813" xr:uid="{C6E09A16-138E-404A-8CD7-0364FAAE46CC}"/>
    <cellStyle name="Normal 9 3 2 2 2 3" xfId="3604" xr:uid="{6179FACC-CC6A-4D7C-A0F1-198D84797BF5}"/>
    <cellStyle name="Normal 9 3 2 2 3" xfId="775" xr:uid="{00000000-0005-0000-0000-0000F2020000}"/>
    <cellStyle name="Normal 9 3 2 2 3 2" xfId="3708" xr:uid="{A31342D6-0CDC-437C-98F7-C4F83B3687AA}"/>
    <cellStyle name="Normal 9 3 2 2 4" xfId="3494" xr:uid="{1AD96E20-D657-4176-9273-6C22D90E1C60}"/>
    <cellStyle name="Normal 9 3 2 3" xfId="618" xr:uid="{00000000-0005-0000-0000-0000F3020000}"/>
    <cellStyle name="Normal 9 3 2 3 2" xfId="829" xr:uid="{00000000-0005-0000-0000-0000F4020000}"/>
    <cellStyle name="Normal 9 3 2 3 2 2" xfId="3761" xr:uid="{93388CFD-41F9-4BA6-862B-BB88A5E36B0B}"/>
    <cellStyle name="Normal 9 3 2 3 3" xfId="3552" xr:uid="{163FDC40-4A01-4759-A69B-CCB3F597417E}"/>
    <cellStyle name="Normal 9 3 2 4" xfId="723" xr:uid="{00000000-0005-0000-0000-0000F5020000}"/>
    <cellStyle name="Normal 9 3 2 4 2" xfId="3656" xr:uid="{61EB8B5B-EDC8-49E9-8B85-DEE9EE0690F0}"/>
    <cellStyle name="Normal 9 3 2 5" xfId="3437" xr:uid="{1976B4AD-E80B-41A9-8683-BF685AB8AA90}"/>
    <cellStyle name="Normal 9 3 3" xfId="488" xr:uid="{00000000-0005-0000-0000-0000F6020000}"/>
    <cellStyle name="Normal 9 3 3 2" xfId="644" xr:uid="{00000000-0005-0000-0000-0000F7020000}"/>
    <cellStyle name="Normal 9 3 3 2 2" xfId="855" xr:uid="{00000000-0005-0000-0000-0000F8020000}"/>
    <cellStyle name="Normal 9 3 3 2 2 2" xfId="3787" xr:uid="{9F328BC5-6B2C-4DC2-8201-5FE40AF3DDEE}"/>
    <cellStyle name="Normal 9 3 3 2 3" xfId="3578" xr:uid="{290E77A3-3E4A-4D3A-96B4-5D6DB7B2EC57}"/>
    <cellStyle name="Normal 9 3 3 3" xfId="749" xr:uid="{00000000-0005-0000-0000-0000F9020000}"/>
    <cellStyle name="Normal 9 3 3 3 2" xfId="3682" xr:uid="{CB4E825E-B4A8-475B-A0AA-F4BEB52FB451}"/>
    <cellStyle name="Normal 9 3 3 4" xfId="3468" xr:uid="{BC85CE32-1E60-4C43-82FB-1686C623DEB3}"/>
    <cellStyle name="Normal 9 3 4" xfId="592" xr:uid="{00000000-0005-0000-0000-0000FA020000}"/>
    <cellStyle name="Normal 9 3 4 2" xfId="803" xr:uid="{00000000-0005-0000-0000-0000FB020000}"/>
    <cellStyle name="Normal 9 3 4 2 2" xfId="3735" xr:uid="{24D794C4-6AC1-4D4C-BBBC-548DD9692735}"/>
    <cellStyle name="Normal 9 3 4 3" xfId="3526" xr:uid="{459FD994-653C-4278-BD7B-262F4B58C730}"/>
    <cellStyle name="Normal 9 3 5" xfId="697" xr:uid="{00000000-0005-0000-0000-0000FC020000}"/>
    <cellStyle name="Normal 9 3 5 2" xfId="3630" xr:uid="{84A1FFC0-1ED9-40FC-967F-272A66CF1EE5}"/>
    <cellStyle name="Normal 9 3 6" xfId="2246" xr:uid="{22D0BE96-4F8F-44D9-8F54-F047A2D1D968}"/>
    <cellStyle name="Normal 9 3 7" xfId="3406" xr:uid="{A6425A6C-DDB2-4186-8125-B9099A96904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2 2 2" xfId="3796" xr:uid="{0968C2D3-B044-485E-8306-ECC9A8E56788}"/>
    <cellStyle name="Normal 9 4 2 2 3" xfId="3587" xr:uid="{30303187-02C3-4FD6-A7D5-252B208EA388}"/>
    <cellStyle name="Normal 9 4 2 3" xfId="758" xr:uid="{00000000-0005-0000-0000-000001030000}"/>
    <cellStyle name="Normal 9 4 2 3 2" xfId="3691" xr:uid="{B71248E9-3166-4BB5-8D13-FC4D0C960F1C}"/>
    <cellStyle name="Normal 9 4 2 4" xfId="3477" xr:uid="{3690515D-9ED1-46AC-A79E-8DADD2BC11F1}"/>
    <cellStyle name="Normal 9 4 3" xfId="601" xr:uid="{00000000-0005-0000-0000-000002030000}"/>
    <cellStyle name="Normal 9 4 3 2" xfId="812" xr:uid="{00000000-0005-0000-0000-000003030000}"/>
    <cellStyle name="Normal 9 4 3 2 2" xfId="3744" xr:uid="{87175B12-2751-4F4D-84D7-D46F5F349485}"/>
    <cellStyle name="Normal 9 4 3 3" xfId="3535" xr:uid="{1A9B582F-73B5-44ED-BBF4-1239C280FFDB}"/>
    <cellStyle name="Normal 9 4 4" xfId="706" xr:uid="{00000000-0005-0000-0000-000004030000}"/>
    <cellStyle name="Normal 9 4 4 2" xfId="3639" xr:uid="{B0737F44-069F-42AF-8F1C-49BDE9E2C7C7}"/>
    <cellStyle name="Normal 9 4 5" xfId="2197" xr:uid="{F213F258-85A6-4046-9766-159BA016304C}"/>
    <cellStyle name="Normal 9 4 5 2" xfId="4688" xr:uid="{6B62FB5B-C3C2-45C4-B4B8-CE9CD55B1D6F}"/>
    <cellStyle name="Normal 9 4 6" xfId="3420" xr:uid="{513FA57B-3F3B-4D36-A513-41877D82B62E}"/>
    <cellStyle name="Normal 9 5" xfId="471" xr:uid="{00000000-0005-0000-0000-000005030000}"/>
    <cellStyle name="Normal 9 5 2" xfId="627" xr:uid="{00000000-0005-0000-0000-000006030000}"/>
    <cellStyle name="Normal 9 5 2 2" xfId="838" xr:uid="{00000000-0005-0000-0000-000007030000}"/>
    <cellStyle name="Normal 9 5 2 2 2" xfId="3770" xr:uid="{3ED8BA25-D338-4185-9E3A-7AC677B3D959}"/>
    <cellStyle name="Normal 9 5 2 3" xfId="3561" xr:uid="{CAF3910C-3C73-4B0C-9020-350BACC5BADE}"/>
    <cellStyle name="Normal 9 5 3" xfId="732" xr:uid="{00000000-0005-0000-0000-000008030000}"/>
    <cellStyle name="Normal 9 5 3 2" xfId="3665" xr:uid="{69FF6728-1514-40E2-A664-672E3DF2FADD}"/>
    <cellStyle name="Normal 9 5 4" xfId="3451" xr:uid="{D4655214-5F36-4E68-8781-E8E32FE1340F}"/>
    <cellStyle name="Normal 9 6" xfId="575" xr:uid="{00000000-0005-0000-0000-000009030000}"/>
    <cellStyle name="Normal 9 6 2" xfId="786" xr:uid="{00000000-0005-0000-0000-00000A030000}"/>
    <cellStyle name="Normal 9 6 2 2" xfId="3718" xr:uid="{00863C62-8759-4778-8D49-4844D4895836}"/>
    <cellStyle name="Normal 9 6 3" xfId="3509" xr:uid="{A4D8B3B0-444D-4748-AE1F-BDF3DEA5BFE0}"/>
    <cellStyle name="Normal 9 7" xfId="680" xr:uid="{00000000-0005-0000-0000-00000B030000}"/>
    <cellStyle name="Normal 9 7 2" xfId="3613" xr:uid="{DE222856-D0F5-48B1-B0BC-CCFFC6503D32}"/>
    <cellStyle name="Normal 9 8" xfId="1540" xr:uid="{24C5FA95-B10B-4820-A5E7-CE0B32E4875A}"/>
    <cellStyle name="Normal 9 9" xfId="3379" xr:uid="{3347AC9C-8B0B-457B-BEC0-6AAD3BD19263}"/>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10 2" xfId="4128" xr:uid="{28A87D49-FC7F-409A-8E79-74A9FE841C8C}"/>
    <cellStyle name="Note 2 11" xfId="3369" xr:uid="{B33D2EA3-F76A-4F9D-BA9D-1168E78A9142}"/>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2 2" xfId="5457" xr:uid="{80A982F6-47BD-4B99-B7F6-975825BB9173}"/>
    <cellStyle name="Note 2 2 3 3" xfId="3160" xr:uid="{FC163AA7-7B1C-4FD4-9AE7-891C68D4DDF5}"/>
    <cellStyle name="Note 2 2 3 3 2" xfId="5534" xr:uid="{EC11D850-475C-4EF6-933A-B1739B981895}"/>
    <cellStyle name="Note 2 2 3 4" xfId="4714" xr:uid="{4C3D5B67-FF7E-4742-BFB4-E132B9AFF480}"/>
    <cellStyle name="Note 2 2 4" xfId="2203" xr:uid="{F90C3ADD-3E30-4BD0-A7FA-D2D581D69F1D}"/>
    <cellStyle name="Note 2 2 4 2" xfId="4693" xr:uid="{63DA5137-022A-4D04-B689-6D35D2778D84}"/>
    <cellStyle name="Note 2 2 5" xfId="3210" xr:uid="{9DB6F5A5-0373-43C7-9A9B-86074C170CC7}"/>
    <cellStyle name="Note 2 2 5 2" xfId="5584" xr:uid="{E4812A82-FCC7-493D-B6DF-53CC072396EE}"/>
    <cellStyle name="Note 2 2 6" xfId="3306" xr:uid="{F95AA93A-4B3E-4624-B879-3A93FB5584F4}"/>
    <cellStyle name="Note 2 2 6 2" xfId="5680" xr:uid="{6928B00D-57D7-42D5-9ADA-822B3EDB06EA}"/>
    <cellStyle name="Note 2 2 7" xfId="4129" xr:uid="{EE9A03A0-2B98-4609-B37C-91D293D873E2}"/>
    <cellStyle name="Note 2 3" xfId="1544" xr:uid="{0645C1D6-5AD2-46FF-BF23-2DA6F7FAB7E9}"/>
    <cellStyle name="Note 2 3 2" xfId="3289" xr:uid="{5E301530-BA99-425E-9CB3-F17ABE9B97EE}"/>
    <cellStyle name="Note 2 3 2 2" xfId="5663" xr:uid="{1596C3B2-3222-4D16-89DD-BE028F9882F6}"/>
    <cellStyle name="Note 2 3 3" xfId="3305" xr:uid="{34AB6321-F0EC-4FCD-BF44-2AA822B372C2}"/>
    <cellStyle name="Note 2 3 3 2" xfId="5679" xr:uid="{13EE637E-805C-4338-9EE1-F2274CED4EF6}"/>
    <cellStyle name="Note 2 3 4" xfId="4130" xr:uid="{04913B86-D469-42EB-86EE-081ACEA403A6}"/>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2 2 2" xfId="5246" xr:uid="{7CD24403-34FD-492E-9D3E-7F6D8685EEF4}"/>
    <cellStyle name="Note 2 6 2 3" xfId="4490" xr:uid="{AAB13C91-5A28-4815-B677-7076A705DEC3}"/>
    <cellStyle name="Note 2 6 3" xfId="2564" xr:uid="{032EE847-CA45-42B4-9F0B-1622EC1C1455}"/>
    <cellStyle name="Note 2 6 3 2" xfId="4999" xr:uid="{3D36B7A3-03D1-463F-AC64-EA1CD3A9590A}"/>
    <cellStyle name="Note 2 6 4" xfId="4131" xr:uid="{2BBDD420-393A-44B0-9C7A-75B626AC9E44}"/>
    <cellStyle name="Note 2 7" xfId="1803" xr:uid="{100940DF-780D-474C-967A-FCD47220126F}"/>
    <cellStyle name="Note 2 7 2" xfId="2641" xr:uid="{24ECF1FB-E188-4C3B-B897-2B8801A7A91C}"/>
    <cellStyle name="Note 2 7 2 2" xfId="5076" xr:uid="{4B2BE97C-8CC9-43ED-BC9E-07D76FE3EC6F}"/>
    <cellStyle name="Note 2 7 3" xfId="4320" xr:uid="{E4989896-F636-4CF2-8C66-A87AD117999D}"/>
    <cellStyle name="Note 2 8" xfId="2213" xr:uid="{00CD06D3-37B7-41F8-BC9A-5C51953D146F}"/>
    <cellStyle name="Note 2 8 2" xfId="4703" xr:uid="{9DAC332C-563B-4338-878F-3A8B4DF098A8}"/>
    <cellStyle name="Note 2 9" xfId="2563" xr:uid="{699D5530-6D92-432A-942C-76A25756B943}"/>
    <cellStyle name="Note 2 9 2" xfId="4998" xr:uid="{B3FA4D67-C686-4AA9-A9C2-29D386C6CA81}"/>
    <cellStyle name="Note 3" xfId="232" xr:uid="{00000000-0005-0000-0000-00000F030000}"/>
    <cellStyle name="Note 3 2" xfId="2968" xr:uid="{4A229F60-125B-4B8B-A7CE-A088A18AAFA5}"/>
    <cellStyle name="Note 3 2 2" xfId="5403" xr:uid="{F12FD567-A71F-4AE8-A6A9-17AE71B6EA8F}"/>
    <cellStyle name="Note 3 3" xfId="2130" xr:uid="{1A1B6121-D8F8-47C7-A8E2-14D921387F04}"/>
    <cellStyle name="Note 3 3 2" xfId="4647" xr:uid="{0D8B4CF8-6895-44BE-959A-F2EA42CA7A35}"/>
    <cellStyle name="Note 3 4" xfId="3375" xr:uid="{31628E5C-CB82-4707-96B5-B9843368ED39}"/>
    <cellStyle name="Note 4" xfId="278" xr:uid="{00000000-0005-0000-0000-000010030000}"/>
    <cellStyle name="Note 4 2" xfId="2159" xr:uid="{DE8DFE35-9B4C-461A-9270-8ECAFEE000C9}"/>
    <cellStyle name="Note 4 2 2" xfId="4660" xr:uid="{69A4029C-5F16-477A-9912-26FA212D48B3}"/>
    <cellStyle name="Note 4 3" xfId="3382" xr:uid="{95846E07-7F97-4E10-A014-EF5834578C30}"/>
    <cellStyle name="Note 5" xfId="327" xr:uid="{00000000-0005-0000-0000-000011030000}"/>
    <cellStyle name="Note 5 2" xfId="2173" xr:uid="{2274DBE0-5402-4F9D-A085-23875B90B9BB}"/>
    <cellStyle name="Note 5 2 2" xfId="4674" xr:uid="{D6D703A9-0112-4A92-A259-17077F883674}"/>
    <cellStyle name="Note 5 3" xfId="3391" xr:uid="{239F1857-685F-46E5-BEDA-285BB0EFCE41}"/>
    <cellStyle name="Note 6" xfId="391" xr:uid="{00000000-0005-0000-0000-000012030000}"/>
    <cellStyle name="Note 6 2" xfId="3041" xr:uid="{3F6746C8-F563-4E56-9BBA-CB064F8F92AE}"/>
    <cellStyle name="Note 6 2 2" xfId="5416" xr:uid="{D4B5EA21-2747-43B6-97F5-7203D3581C19}"/>
    <cellStyle name="Note 6 3" xfId="3414" xr:uid="{1536D08F-8F1B-48E7-9880-B20AE838BDB2}"/>
    <cellStyle name="Note 7" xfId="462" xr:uid="{00000000-0005-0000-0000-000013030000}"/>
    <cellStyle name="Note 7 2" xfId="2283" xr:uid="{111DE793-311B-421A-AD6B-DAAD01151306}"/>
    <cellStyle name="Note 7 2 2" xfId="4718" xr:uid="{8EB83275-1F12-4407-83F5-9A48F133C009}"/>
    <cellStyle name="Note 7 3" xfId="3445" xr:uid="{A70D53B6-81EC-46B1-9606-A04D9A549B31}"/>
    <cellStyle name="Note 8" xfId="566" xr:uid="{00000000-0005-0000-0000-000014030000}"/>
    <cellStyle name="Note 8 2" xfId="3503" xr:uid="{1D63B326-ED04-4CAA-945E-F855D7E9DE13}"/>
    <cellStyle name="Note 9" xfId="3316" xr:uid="{A57DF1FF-9DF2-440F-80B0-D90D0746E7BA}"/>
    <cellStyle name="Output" xfId="69" builtinId="21" customBuiltin="1"/>
    <cellStyle name="Output 10" xfId="3317" xr:uid="{CBB1D51C-4A51-4533-8B54-4A9CB8BD2961}"/>
    <cellStyle name="Output 2" xfId="187" xr:uid="{00000000-0005-0000-0000-000016030000}"/>
    <cellStyle name="Output 2 2" xfId="1549" xr:uid="{12332D61-2B52-4831-BDEB-9EB7A1EC4913}"/>
    <cellStyle name="Output 2 2 2" xfId="3082" xr:uid="{DCDC1C11-96FD-4E91-BF2E-D2719E759957}"/>
    <cellStyle name="Output 2 2 2 2" xfId="5456" xr:uid="{D4C744B8-4F27-4527-A920-636BC4162EF9}"/>
    <cellStyle name="Output 2 2 3" xfId="3134" xr:uid="{5B15CAFE-0139-4819-9FB4-2EB9BE49E2F3}"/>
    <cellStyle name="Output 2 2 3 2" xfId="5508" xr:uid="{AE2D56D2-ABCD-48ED-A9A2-35203977C317}"/>
    <cellStyle name="Output 2 2 4" xfId="4133" xr:uid="{DE94FC5B-F13D-44D4-8896-FF53222D5A50}"/>
    <cellStyle name="Output 2 3" xfId="3140" xr:uid="{4C75D20A-9A0C-4A20-85E5-76A759550F36}"/>
    <cellStyle name="Output 2 3 2" xfId="5514" xr:uid="{00AF7FC9-8CF7-4F06-B373-CD30B61A0713}"/>
    <cellStyle name="Output 2 4" xfId="3304" xr:uid="{46995F99-A8C1-4C47-8966-B59D09B1C165}"/>
    <cellStyle name="Output 2 4 2" xfId="5678" xr:uid="{9A5F289F-551B-4BDC-BA59-296E69B92F20}"/>
    <cellStyle name="Output 2 5" xfId="1548" xr:uid="{32837C36-1F56-484A-85CA-6C75B2E2C5DD}"/>
    <cellStyle name="Output 2 5 2" xfId="4132" xr:uid="{16A3633F-F7B1-47B2-AE62-140AA808AB4E}"/>
    <cellStyle name="Output 2 6" xfId="3370" xr:uid="{BAE2167A-AC6B-4DCE-9D82-0F4FC361A60A}"/>
    <cellStyle name="Output 3" xfId="233" xr:uid="{00000000-0005-0000-0000-000017030000}"/>
    <cellStyle name="Output 3 2" xfId="3376" xr:uid="{59AA6366-B6A4-4AE3-A2C4-EB8B910AAB39}"/>
    <cellStyle name="Output 4" xfId="279" xr:uid="{00000000-0005-0000-0000-000018030000}"/>
    <cellStyle name="Output 4 2" xfId="3383" xr:uid="{054C86AC-3002-4984-B767-C6634A32A54F}"/>
    <cellStyle name="Output 5" xfId="328" xr:uid="{00000000-0005-0000-0000-000019030000}"/>
    <cellStyle name="Output 5 2" xfId="3392" xr:uid="{18B54599-EA6F-4DD0-9DE9-C6DF2888D5FB}"/>
    <cellStyle name="Output 6" xfId="392" xr:uid="{00000000-0005-0000-0000-00001A030000}"/>
    <cellStyle name="Output 6 2" xfId="3415" xr:uid="{DB5398E8-DC74-4FAA-B14E-551D74CC7465}"/>
    <cellStyle name="Output 7" xfId="463" xr:uid="{00000000-0005-0000-0000-00001B030000}"/>
    <cellStyle name="Output 7 2" xfId="3446" xr:uid="{7432EEE5-A8D1-4FFB-970F-3DB4B67CB586}"/>
    <cellStyle name="Output 8" xfId="567" xr:uid="{00000000-0005-0000-0000-00001C030000}"/>
    <cellStyle name="Output 8 2" xfId="3504" xr:uid="{19D0B7CE-8134-4C7F-ACFD-CB6AE30E9BC6}"/>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0 2" xfId="5000" xr:uid="{3CDC7995-77B5-49DC-B5AB-04AE36380683}"/>
    <cellStyle name="Percent 3 11" xfId="1578" xr:uid="{B88823E0-EA18-4E24-9830-B3B396632CA9}"/>
    <cellStyle name="Percent 3 11 2" xfId="4134" xr:uid="{54537BF8-1E4F-473C-A877-EB3085990C35}"/>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2 2 2" xfId="5249" xr:uid="{BA5286C2-C26E-45D0-9B67-8EDA42308595}"/>
    <cellStyle name="Percent 3 7 2 3" xfId="4493" xr:uid="{F9453441-6C11-4430-B033-5B0C4814E830}"/>
    <cellStyle name="Percent 3 7 3" xfId="2566" xr:uid="{31451742-7DC6-435C-B8B5-0303B32A3B89}"/>
    <cellStyle name="Percent 3 7 3 2" xfId="5001" xr:uid="{4059C6FB-9602-4D2C-A5F0-527EC38031B0}"/>
    <cellStyle name="Percent 3 7 4" xfId="4135" xr:uid="{5406BE76-76F4-4525-B47C-1F2AF98C990C}"/>
    <cellStyle name="Percent 3 8" xfId="1806" xr:uid="{20162927-A4C9-4D3E-BAC6-B316ADBBD940}"/>
    <cellStyle name="Percent 3 8 2" xfId="2644" xr:uid="{893CFA10-C85B-43C7-B2EA-6520240172C9}"/>
    <cellStyle name="Percent 3 8 2 2" xfId="5079" xr:uid="{E46F3D6C-6071-4543-BFDD-596224B7EF33}"/>
    <cellStyle name="Percent 3 8 3" xfId="4323" xr:uid="{F7E19EFC-333A-497F-A843-11FD33B6E3CB}"/>
    <cellStyle name="Percent 3 9" xfId="2215" xr:uid="{DEB76B9B-C753-4465-B22D-0DFE2C6F6013}"/>
    <cellStyle name="Percent 3 9 2" xfId="4705" xr:uid="{9E070AE3-5D4C-45F8-89D9-A29E4DF486ED}"/>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2 2" xfId="5484" xr:uid="{DBE70EDC-47E1-4687-9061-BBE5C4816D37}"/>
    <cellStyle name="SAPBEXaggData 2 2 2 3" xfId="3191" xr:uid="{52A4C16A-2013-4D9A-A647-047877D1DE65}"/>
    <cellStyle name="SAPBEXaggData 2 2 2 3 2" xfId="5565" xr:uid="{BFBB723A-B761-4FFE-928A-2E3C443D2683}"/>
    <cellStyle name="SAPBEXaggData 2 2 2 4" xfId="4139" xr:uid="{4F266409-3C0E-454B-B0D6-B8F29F36B483}"/>
    <cellStyle name="SAPBEXaggData 2 2 3" xfId="3070" xr:uid="{13B672F4-90F9-412C-BD17-1BA21522297F}"/>
    <cellStyle name="SAPBEXaggData 2 2 3 2" xfId="5444" xr:uid="{65192020-07B6-4D1D-A72D-525C54A91E20}"/>
    <cellStyle name="SAPBEXaggData 2 2 4" xfId="3103" xr:uid="{DF52D1D5-9E00-4C7E-8FEF-C0C6E9D7BEF9}"/>
    <cellStyle name="SAPBEXaggData 2 2 4 2" xfId="5477" xr:uid="{F483D353-B1BB-4EF3-BB8A-ECF612A0E987}"/>
    <cellStyle name="SAPBEXaggData 2 2 5" xfId="4138" xr:uid="{EB642C2F-5076-477A-97E5-47B9DFDEE99E}"/>
    <cellStyle name="SAPBEXaggData 2 3" xfId="1602" xr:uid="{500FFBCD-24C1-458B-9F59-B59DAF1DAE96}"/>
    <cellStyle name="SAPBEXaggData 2 3 2" xfId="3273" xr:uid="{F4229EF9-3DD2-4F90-8C8C-90C0CDEBFD49}"/>
    <cellStyle name="SAPBEXaggData 2 3 2 2" xfId="5647" xr:uid="{7009EA8F-71D5-4055-85C3-6C2F63768DF9}"/>
    <cellStyle name="SAPBEXaggData 2 3 3" xfId="3293" xr:uid="{6BB1E32A-778B-4B86-8D88-B9C2B0D402CA}"/>
    <cellStyle name="SAPBEXaggData 2 3 3 2" xfId="5667" xr:uid="{F2B05211-4A1B-4136-BDEC-DCD9D6CF7C4E}"/>
    <cellStyle name="SAPBEXaggData 2 3 4" xfId="4140" xr:uid="{D9DA38A4-E8CC-43CD-A684-79178C3A5A46}"/>
    <cellStyle name="SAPBEXaggData 2 4" xfId="3287" xr:uid="{6CFF288F-39BB-434A-8C98-2805E73512EE}"/>
    <cellStyle name="SAPBEXaggData 2 4 2" xfId="5661" xr:uid="{DEAAA1D5-1179-4A19-8CCB-201A61EE22AB}"/>
    <cellStyle name="SAPBEXaggData 2 5" xfId="3206" xr:uid="{644FED61-BA6B-4A5E-AA33-6205814F5D8F}"/>
    <cellStyle name="SAPBEXaggData 2 5 2" xfId="5580" xr:uid="{9DBDE194-0D4B-4B47-A15A-093BFABE871B}"/>
    <cellStyle name="SAPBEXaggData 2 6" xfId="4137" xr:uid="{023123F2-D554-413C-984E-644933CF42A0}"/>
    <cellStyle name="SAPBEXaggData 3" xfId="3245" xr:uid="{728242AD-8B5D-4E50-BBB5-B065C83FF2EE}"/>
    <cellStyle name="SAPBEXaggData 3 2" xfId="5619" xr:uid="{84766C5C-B799-45B9-8F0A-9F842BA30F89}"/>
    <cellStyle name="SAPBEXaggData 4" xfId="3201" xr:uid="{A77C71DD-4570-4BAC-9C05-724CB39E2C5E}"/>
    <cellStyle name="SAPBEXaggData 4 2" xfId="5575" xr:uid="{1A6B2210-328F-4D79-A842-641DFC43E3FA}"/>
    <cellStyle name="SAPBEXaggData 5" xfId="1598" xr:uid="{E1FF5564-FEF7-4C2A-9B27-BBAE215AFEFF}"/>
    <cellStyle name="SAPBEXaggData 5 2" xfId="4136" xr:uid="{F7A6A2A7-C3E2-4725-AE5C-6736EB5069F5}"/>
    <cellStyle name="SAPBEXaggData 6" xfId="3318" xr:uid="{A1A3278E-9E35-4E74-9D0D-25C38B42A77C}"/>
    <cellStyle name="SAPBEXaggDataEmph" xfId="73" xr:uid="{00000000-0005-0000-0000-000028030000}"/>
    <cellStyle name="SAPBEXaggDataEmph 2" xfId="1604" xr:uid="{C041ED9C-9F28-4468-B5C1-72D22BA10D02}"/>
    <cellStyle name="SAPBEXaggDataEmph 2 2" xfId="3190" xr:uid="{C46E27BB-C29E-48C2-868A-A6DAA4F6D3C0}"/>
    <cellStyle name="SAPBEXaggDataEmph 2 2 2" xfId="5564" xr:uid="{844CB2D9-1EE6-4817-BB36-D769C731DFF0}"/>
    <cellStyle name="SAPBEXaggDataEmph 2 3" xfId="3192" xr:uid="{28E75EBD-981B-4129-AF7C-B29C2D926D14}"/>
    <cellStyle name="SAPBEXaggDataEmph 2 3 2" xfId="5566" xr:uid="{F97D6117-ABE4-4BAF-B5F7-AB2499AB0109}"/>
    <cellStyle name="SAPBEXaggDataEmph 2 4" xfId="4142" xr:uid="{0DC72068-C25E-4E3C-9251-6C15159176D7}"/>
    <cellStyle name="SAPBEXaggDataEmph 3" xfId="3099" xr:uid="{C7C2DC3E-DA4E-49E4-B079-0049D0BC31C3}"/>
    <cellStyle name="SAPBEXaggDataEmph 3 2" xfId="5473" xr:uid="{A73ECF67-2D64-4138-B95C-A4086A07E8DB}"/>
    <cellStyle name="SAPBEXaggDataEmph 4" xfId="3049" xr:uid="{7BA57EA1-81D4-4E58-8420-89E45FC00D4D}"/>
    <cellStyle name="SAPBEXaggDataEmph 4 2" xfId="5423" xr:uid="{011434C3-E39E-441B-BB67-47F30F550629}"/>
    <cellStyle name="SAPBEXaggDataEmph 5" xfId="1603" xr:uid="{881C820C-6178-48F3-8E60-54F1F6C97600}"/>
    <cellStyle name="SAPBEXaggDataEmph 5 2" xfId="4141" xr:uid="{0F7DEEB8-A957-4B2A-B49F-EE0767B7FD5E}"/>
    <cellStyle name="SAPBEXaggDataEmph 6" xfId="3319" xr:uid="{46A96FB7-8A79-4D24-8975-823AC9262E59}"/>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2 2" xfId="5569" xr:uid="{DBE799E3-ADBC-4E79-BA70-C050A26E8879}"/>
    <cellStyle name="SAPBEXaggItem 2 2 3" xfId="3275" xr:uid="{52BC7399-2DCD-43D4-96B1-2DD8659D8774}"/>
    <cellStyle name="SAPBEXaggItem 2 2 3 2" xfId="5649" xr:uid="{E420124E-4610-4233-8B29-59EDF2680EB2}"/>
    <cellStyle name="SAPBEXaggItem 2 2 4" xfId="4145" xr:uid="{5C29070E-F1E8-490C-8847-3F8DF5547EEF}"/>
    <cellStyle name="SAPBEXaggItem 2 3" xfId="1608" xr:uid="{0D70B0D1-0AB2-4DCD-BBBD-EEF863038142}"/>
    <cellStyle name="SAPBEXaggItem 2 3 2" xfId="3119" xr:uid="{96313354-8F6E-4030-A465-08A04381CA26}"/>
    <cellStyle name="SAPBEXaggItem 2 3 2 2" xfId="5493" xr:uid="{FA8070C6-6E1B-4F25-AE36-17DEAA1350BB}"/>
    <cellStyle name="SAPBEXaggItem 2 3 3" xfId="3218" xr:uid="{52A69C1D-CF43-4B46-AE33-262E1E8B76AB}"/>
    <cellStyle name="SAPBEXaggItem 2 3 3 2" xfId="5592" xr:uid="{29D4EF10-01B4-43F7-81D5-5B10C58610FC}"/>
    <cellStyle name="SAPBEXaggItem 2 3 4" xfId="4146" xr:uid="{1C368E5E-B80E-42CE-A288-3FDA046728A1}"/>
    <cellStyle name="SAPBEXaggItem 2 4" xfId="3286" xr:uid="{90EB2062-5725-4275-9176-EA15E68E4BD0}"/>
    <cellStyle name="SAPBEXaggItem 2 4 2" xfId="5660" xr:uid="{FA9EE14D-2338-4AE3-AA21-DB940E6ED584}"/>
    <cellStyle name="SAPBEXaggItem 2 5" xfId="3288" xr:uid="{6146BE98-F930-40D7-83DD-818D855143CE}"/>
    <cellStyle name="SAPBEXaggItem 2 5 2" xfId="5662" xr:uid="{8B3F4782-086B-479B-BAEA-3420964B4F35}"/>
    <cellStyle name="SAPBEXaggItem 2 6" xfId="4144" xr:uid="{9D1AC21F-57AB-485F-B393-25A843DF3014}"/>
    <cellStyle name="SAPBEXaggItem 3" xfId="3128" xr:uid="{832246E8-D2F0-4761-9E6F-60BDD76BE216}"/>
    <cellStyle name="SAPBEXaggItem 3 2" xfId="5502" xr:uid="{B57EF528-8F46-41E2-A79D-6C9E289E450D}"/>
    <cellStyle name="SAPBEXaggItem 4" xfId="3126" xr:uid="{F26EE3E6-78C9-4121-AE8A-C4A698B326F1}"/>
    <cellStyle name="SAPBEXaggItem 4 2" xfId="5500" xr:uid="{973FFD63-A2BF-457D-B5FA-7A55097211B9}"/>
    <cellStyle name="SAPBEXaggItem 5" xfId="1605" xr:uid="{56610863-AF68-4AE6-BF11-A4BD265899BB}"/>
    <cellStyle name="SAPBEXaggItem 5 2" xfId="4143" xr:uid="{CA9C29E7-39D9-452F-9A08-5888D95BF865}"/>
    <cellStyle name="SAPBEXaggItem 6" xfId="3320" xr:uid="{6545D050-61C3-41DF-BAD4-880E28702F82}"/>
    <cellStyle name="SAPBEXaggItemX" xfId="75" xr:uid="{00000000-0005-0000-0000-00002A030000}"/>
    <cellStyle name="SAPBEXaggItemX 2" xfId="925" xr:uid="{94140530-6253-443E-BEEF-2F6537F93C3D}"/>
    <cellStyle name="SAPBEXaggItemX 2 2" xfId="3059" xr:uid="{E1E2A984-7B7E-4BF0-914F-0E0475E4691D}"/>
    <cellStyle name="SAPBEXaggItemX 2 2 2" xfId="5433" xr:uid="{E0C5529B-3CE8-4559-9B41-9C76E399B148}"/>
    <cellStyle name="SAPBEXaggItemX 2 3" xfId="3292" xr:uid="{8C7FE456-BCBD-40C2-9D1E-07210A2B7076}"/>
    <cellStyle name="SAPBEXaggItemX 2 3 2" xfId="5666" xr:uid="{A805003E-4087-4830-B8EA-9CA32375D000}"/>
    <cellStyle name="SAPBEXaggItemX 2 4" xfId="1610" xr:uid="{79F2AB99-60C5-4453-812C-D9484583766E}"/>
    <cellStyle name="SAPBEXaggItemX 2 4 2" xfId="4148" xr:uid="{B0F65E54-90AE-4EBC-B81E-2A8963630F80}"/>
    <cellStyle name="SAPBEXaggItemX 2 5" xfId="3829" xr:uid="{4B00D63F-371D-4C3A-B16B-3B5E2D0DB7EB}"/>
    <cellStyle name="SAPBEXaggItemX 3" xfId="3256" xr:uid="{BEAAB0CF-0165-445B-ACC7-D34A21FE21D0}"/>
    <cellStyle name="SAPBEXaggItemX 3 2" xfId="5630" xr:uid="{45AF94A7-A16A-4178-9C6D-52F05B31EE56}"/>
    <cellStyle name="SAPBEXaggItemX 4" xfId="3055" xr:uid="{A311F2D3-7405-4FC7-B9CA-0078AD4F458D}"/>
    <cellStyle name="SAPBEXaggItemX 4 2" xfId="5429" xr:uid="{3B8F74AF-85B7-4747-993A-11DAA99F0030}"/>
    <cellStyle name="SAPBEXaggItemX 5" xfId="1609" xr:uid="{FF30BE45-0C67-4CD2-9708-14B84A38B8C2}"/>
    <cellStyle name="SAPBEXaggItemX 5 2" xfId="4147" xr:uid="{CF56A25A-D487-49EA-9176-70A567EDAA9A}"/>
    <cellStyle name="SAPBEXaggItemX 6" xfId="3321" xr:uid="{C764CD59-E567-4474-95F6-6FB115264233}"/>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2 2" xfId="5463" xr:uid="{77D4952D-97AD-4E5C-9A91-CCD344A2CFBC}"/>
    <cellStyle name="SAPBEXchaText 2 2 3" xfId="3149" xr:uid="{18AE778D-965A-4980-9673-7706BC315CC5}"/>
    <cellStyle name="SAPBEXchaText 2 2 3 2" xfId="5523" xr:uid="{F9ADA6E4-4AA7-49B2-B814-247486CEF7D9}"/>
    <cellStyle name="SAPBEXchaText 2 2 4" xfId="4151" xr:uid="{8EE5AA18-5DC0-47E7-B707-AD76953C8CF0}"/>
    <cellStyle name="SAPBEXchaText 2 3" xfId="1614" xr:uid="{8FFE5D26-7913-4563-8BE2-5527E54DD550}"/>
    <cellStyle name="SAPBEXchaText 2 3 2" xfId="3177" xr:uid="{33E7CD87-A4DB-466A-9CAC-C5297343D0DD}"/>
    <cellStyle name="SAPBEXchaText 2 3 2 2" xfId="5551" xr:uid="{867AD6F0-1A2B-4DA2-A081-F51D36FF9367}"/>
    <cellStyle name="SAPBEXchaText 2 3 3" xfId="3135" xr:uid="{9A8C1388-A755-45A6-912B-457B4D74FAF8}"/>
    <cellStyle name="SAPBEXchaText 2 3 3 2" xfId="5509" xr:uid="{FD04C7DC-A1F2-4BA0-9128-44A4F88A1457}"/>
    <cellStyle name="SAPBEXchaText 2 3 4" xfId="4152" xr:uid="{09FABA00-C27F-42D7-A19B-14BA5800A1D4}"/>
    <cellStyle name="SAPBEXchaText 2 4" xfId="3183" xr:uid="{2B17602C-0541-4D71-94D4-150C8794DA3D}"/>
    <cellStyle name="SAPBEXchaText 2 4 2" xfId="5557" xr:uid="{6AF9C5DC-8C15-4A69-AB35-07BE80B27894}"/>
    <cellStyle name="SAPBEXchaText 2 5" xfId="3166" xr:uid="{39AEFDB2-3B1C-4232-A2C4-572257BD3634}"/>
    <cellStyle name="SAPBEXchaText 2 5 2" xfId="5540" xr:uid="{4D538514-9A55-49D0-8797-7503CCA045FE}"/>
    <cellStyle name="SAPBEXchaText 2 6" xfId="4150" xr:uid="{B1F53302-C89F-41DB-A6A2-3CE5DFECC3CC}"/>
    <cellStyle name="SAPBEXchaText 3" xfId="3200" xr:uid="{98A03DA7-1924-4C0F-8EB3-A9254319D46B}"/>
    <cellStyle name="SAPBEXchaText 3 2" xfId="5574" xr:uid="{311822A1-E793-4B88-BDF9-827BC9709DC1}"/>
    <cellStyle name="SAPBEXchaText 4" xfId="3153" xr:uid="{06A7AF2E-BCE0-4615-BAF0-79F94D6EC11B}"/>
    <cellStyle name="SAPBEXchaText 4 2" xfId="5527" xr:uid="{7AE3AE90-87E4-40B3-B6E6-00B248463BB5}"/>
    <cellStyle name="SAPBEXchaText 5" xfId="1611" xr:uid="{A97E2B4A-7B68-4429-9D31-5E2783B1DFCD}"/>
    <cellStyle name="SAPBEXchaText 5 2" xfId="4149" xr:uid="{15A715FD-D5C5-444B-8AC9-394851DA9B05}"/>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2 2" xfId="5547" xr:uid="{7411AE61-FC7B-48E9-B0BC-D46F5DC07A61}"/>
    <cellStyle name="SAPBEXexcBad7 2 2 3" xfId="3133" xr:uid="{8AB29BB9-2152-49A9-A6A8-0DD25EF6B026}"/>
    <cellStyle name="SAPBEXexcBad7 2 2 3 2" xfId="5507" xr:uid="{61B90D7C-DF2B-45EC-86D5-120C7FF2775A}"/>
    <cellStyle name="SAPBEXexcBad7 2 2 4" xfId="4155" xr:uid="{9D6E77E2-30C0-40C1-BA1D-345C96F9CF44}"/>
    <cellStyle name="SAPBEXexcBad7 2 3" xfId="1619" xr:uid="{B440BB55-A191-412F-ABD4-6DA0F247668A}"/>
    <cellStyle name="SAPBEXexcBad7 2 3 2" xfId="3176" xr:uid="{E6138790-1B52-4FC8-B7BA-72F0D822A019}"/>
    <cellStyle name="SAPBEXexcBad7 2 3 2 2" xfId="5550" xr:uid="{70BE522E-8A45-4DAC-A3EE-4915A67F9144}"/>
    <cellStyle name="SAPBEXexcBad7 2 3 3" xfId="3291" xr:uid="{A3A266D0-C75B-42AF-823E-465BEB283F26}"/>
    <cellStyle name="SAPBEXexcBad7 2 3 3 2" xfId="5665" xr:uid="{60955CC2-D649-4D2D-AA09-4D2FF2E821E7}"/>
    <cellStyle name="SAPBEXexcBad7 2 3 4" xfId="4156" xr:uid="{987077A3-10D1-42B4-9A63-B0F637CD92FE}"/>
    <cellStyle name="SAPBEXexcBad7 2 4" xfId="3260" xr:uid="{27F249D8-5F00-40F1-87E3-C3300D3D2620}"/>
    <cellStyle name="SAPBEXexcBad7 2 4 2" xfId="5634" xr:uid="{0EB3FBF2-891A-40E5-A74D-0791191C6F48}"/>
    <cellStyle name="SAPBEXexcBad7 2 5" xfId="3272" xr:uid="{C0A00A8B-00F3-4202-B398-6491A2BE9DD7}"/>
    <cellStyle name="SAPBEXexcBad7 2 5 2" xfId="5646" xr:uid="{95BAFCD6-3C36-4E04-B826-56876F7D4221}"/>
    <cellStyle name="SAPBEXexcBad7 2 6" xfId="1617" xr:uid="{11C11065-CC76-433C-B359-D6C2715CC790}"/>
    <cellStyle name="SAPBEXexcBad7 2 6 2" xfId="4154" xr:uid="{33493737-0BDA-4A08-BAC2-855059C49793}"/>
    <cellStyle name="SAPBEXexcBad7 2 7" xfId="3350" xr:uid="{DB8192A9-36DA-4E21-B9D6-0EB98F93B140}"/>
    <cellStyle name="SAPBEXexcBad7 3" xfId="3211" xr:uid="{F3C8E92E-8819-4743-BCE1-0AD817F7E52E}"/>
    <cellStyle name="SAPBEXexcBad7 3 2" xfId="5585" xr:uid="{D83B2F63-A4D9-4A4D-B4BD-92F41DDA1AB5}"/>
    <cellStyle name="SAPBEXexcBad7 4" xfId="3088" xr:uid="{7A13A822-974D-4F2D-84C1-7207B518D1F4}"/>
    <cellStyle name="SAPBEXexcBad7 4 2" xfId="5462" xr:uid="{497401D4-B6F1-4A06-8A07-E8417FDE595A}"/>
    <cellStyle name="SAPBEXexcBad7 5" xfId="1616" xr:uid="{3A61B751-877F-441F-B6DC-F467DDD1AD75}"/>
    <cellStyle name="SAPBEXexcBad7 5 2" xfId="4153" xr:uid="{DEC08A06-B179-4047-89B8-420D1DDA9E84}"/>
    <cellStyle name="SAPBEXexcBad7 6" xfId="3322" xr:uid="{CF411293-02E2-4A9F-9C7C-58FE16E4684F}"/>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2 2" xfId="5549" xr:uid="{B1ABA2D2-93C2-40AE-AAAB-386D2535201F}"/>
    <cellStyle name="SAPBEXexcBad8 2 2 3" xfId="3178" xr:uid="{2F09CD3F-CCCF-4864-AEA1-8FD637D63063}"/>
    <cellStyle name="SAPBEXexcBad8 2 2 3 2" xfId="5552" xr:uid="{F6FD215B-1C99-4C6B-A384-BD9CBBFB678D}"/>
    <cellStyle name="SAPBEXexcBad8 2 2 4" xfId="4159" xr:uid="{7E807083-A3A4-419E-BB19-73B9EA627026}"/>
    <cellStyle name="SAPBEXexcBad8 2 3" xfId="1623" xr:uid="{F07D32CC-997D-4CCD-8AB5-D8E1AE1FF1F3}"/>
    <cellStyle name="SAPBEXexcBad8 2 3 2" xfId="3255" xr:uid="{2D5676DF-AD12-4C52-AD2E-5035FD2CA0CB}"/>
    <cellStyle name="SAPBEXexcBad8 2 3 2 2" xfId="5629" xr:uid="{412FD524-FACE-4FF5-BF2C-AA44D9CD2504}"/>
    <cellStyle name="SAPBEXexcBad8 2 3 3" xfId="3122" xr:uid="{23BDE68F-7F44-416C-A9DA-B39651F352B0}"/>
    <cellStyle name="SAPBEXexcBad8 2 3 3 2" xfId="5496" xr:uid="{013D7F11-DD6B-41FE-8763-6C02AD668650}"/>
    <cellStyle name="SAPBEXexcBad8 2 3 4" xfId="4160" xr:uid="{C45F7CBD-23B9-4222-BDE8-7453E0E27361}"/>
    <cellStyle name="SAPBEXexcBad8 2 4" xfId="3263" xr:uid="{DF67F1D5-9768-4AF7-B64D-74F16281090B}"/>
    <cellStyle name="SAPBEXexcBad8 2 4 2" xfId="5637" xr:uid="{3083C649-65AB-4DA9-9307-939AADAC22A5}"/>
    <cellStyle name="SAPBEXexcBad8 2 5" xfId="3232" xr:uid="{84D2290F-C3A7-4364-8181-AFC6E88EEE71}"/>
    <cellStyle name="SAPBEXexcBad8 2 5 2" xfId="5606" xr:uid="{12467F6E-DC0A-44C9-B612-F058855E9F81}"/>
    <cellStyle name="SAPBEXexcBad8 2 6" xfId="1621" xr:uid="{2CBC5F18-CC01-441A-9BA4-8850DE3C6A63}"/>
    <cellStyle name="SAPBEXexcBad8 2 6 2" xfId="4158" xr:uid="{6E09DA94-3012-4858-A32B-B828EC76228B}"/>
    <cellStyle name="SAPBEXexcBad8 2 7" xfId="3351" xr:uid="{5AC8E919-2FB5-47CA-953D-28E1A82BFA7A}"/>
    <cellStyle name="SAPBEXexcBad8 3" xfId="3093" xr:uid="{B5F4DB96-7581-421F-BE09-085EC0F0D422}"/>
    <cellStyle name="SAPBEXexcBad8 3 2" xfId="5467" xr:uid="{AB9F3F85-6717-404E-9875-02F0A013653A}"/>
    <cellStyle name="SAPBEXexcBad8 4" xfId="3253" xr:uid="{7F53D327-E6AA-414E-AF67-41CB62F1C57F}"/>
    <cellStyle name="SAPBEXexcBad8 4 2" xfId="5627" xr:uid="{0B5C0A8A-124B-4077-AF1D-FF727237990B}"/>
    <cellStyle name="SAPBEXexcBad8 5" xfId="1620" xr:uid="{7C76A88E-D8F6-437D-B967-FD0321CF2DFC}"/>
    <cellStyle name="SAPBEXexcBad8 5 2" xfId="4157" xr:uid="{C7DAA98C-638B-4F5E-854D-B0AA4EFEF9D0}"/>
    <cellStyle name="SAPBEXexcBad8 6" xfId="3323" xr:uid="{932EE967-FEE0-42A3-90CF-FF69D8228312}"/>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2 2" xfId="5545" xr:uid="{A5417E88-A30B-413D-A8B3-14F7CCDB3C68}"/>
    <cellStyle name="SAPBEXexcBad9 2 2 3" xfId="3220" xr:uid="{C9BBD975-B4ED-4AAF-A4D0-99B1B2C50227}"/>
    <cellStyle name="SAPBEXexcBad9 2 2 3 2" xfId="5594" xr:uid="{86A2F71A-CF4F-4512-BA03-47522EF046CB}"/>
    <cellStyle name="SAPBEXexcBad9 2 2 4" xfId="4163" xr:uid="{8C46B01D-ED6E-43EB-8CDB-B9B63F16EE92}"/>
    <cellStyle name="SAPBEXexcBad9 2 3" xfId="1627" xr:uid="{B02961CA-EFCB-4875-AFAE-C08457194207}"/>
    <cellStyle name="SAPBEXexcBad9 2 3 2" xfId="3046" xr:uid="{D4DB5D2D-EDAD-4D3B-A534-63D2532E558B}"/>
    <cellStyle name="SAPBEXexcBad9 2 3 2 2" xfId="5420" xr:uid="{5E8155E5-CDD7-4E86-BAEC-A3D8A9B1A370}"/>
    <cellStyle name="SAPBEXexcBad9 2 3 3" xfId="3217" xr:uid="{86329FE1-FA2B-4E75-8555-8B5DCC80DCAF}"/>
    <cellStyle name="SAPBEXexcBad9 2 3 3 2" xfId="5591" xr:uid="{5AD12DCD-0CF0-491E-8439-E9D061A0C4D3}"/>
    <cellStyle name="SAPBEXexcBad9 2 3 4" xfId="4164" xr:uid="{1233F1B9-EC1F-454F-9EDF-C6F3D594AD3D}"/>
    <cellStyle name="SAPBEXexcBad9 2 4" xfId="3194" xr:uid="{1940D20D-E2D4-489E-B1D3-F424609D0027}"/>
    <cellStyle name="SAPBEXexcBad9 2 4 2" xfId="5568" xr:uid="{A9A88F24-9620-4FB8-BEB8-95CD181A0074}"/>
    <cellStyle name="SAPBEXexcBad9 2 5" xfId="3143" xr:uid="{6BCA57DD-4702-4E1B-BC80-9F3FF7697D26}"/>
    <cellStyle name="SAPBEXexcBad9 2 5 2" xfId="5517" xr:uid="{F666FAFA-9EDB-4E87-8656-595D8A3ECD1C}"/>
    <cellStyle name="SAPBEXexcBad9 2 6" xfId="1625" xr:uid="{47586EEB-70F0-4882-B95A-2A769B61D794}"/>
    <cellStyle name="SAPBEXexcBad9 2 6 2" xfId="4162" xr:uid="{D4C04A88-2D1E-4ADD-BD3E-82331B95125B}"/>
    <cellStyle name="SAPBEXexcBad9 2 7" xfId="3352" xr:uid="{4FE3963E-E0AF-4E87-87E8-CABFADC44818}"/>
    <cellStyle name="SAPBEXexcBad9 3" xfId="3156" xr:uid="{A05ACD26-1CF0-4752-821E-66F478506893}"/>
    <cellStyle name="SAPBEXexcBad9 3 2" xfId="5530" xr:uid="{BA3D6E38-222A-4412-84A7-E491E380C6C8}"/>
    <cellStyle name="SAPBEXexcBad9 4" xfId="3243" xr:uid="{9BAED454-5EFB-4E5B-9CFE-4FDFA10E8EB9}"/>
    <cellStyle name="SAPBEXexcBad9 4 2" xfId="5617" xr:uid="{83D6D51E-A760-42F9-8E21-CBA14523FC2B}"/>
    <cellStyle name="SAPBEXexcBad9 5" xfId="1624" xr:uid="{5066F295-F30D-4B4C-AF46-3D02AA7F123C}"/>
    <cellStyle name="SAPBEXexcBad9 5 2" xfId="4161" xr:uid="{94F4AA66-8C36-4E3B-B7F8-774B1C791D49}"/>
    <cellStyle name="SAPBEXexcBad9 6" xfId="3324" xr:uid="{D4ED05C1-BDCF-4308-9919-E829128B71C0}"/>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2 2" xfId="5561" xr:uid="{88DFEE4F-006F-4B71-A29B-D04428E23793}"/>
    <cellStyle name="SAPBEXexcCritical4 2 2 3" xfId="3279" xr:uid="{41D66534-15D0-4034-A7DC-8453030307C9}"/>
    <cellStyle name="SAPBEXexcCritical4 2 2 3 2" xfId="5653" xr:uid="{857770B3-AE97-4ECC-A6B5-A206681A7034}"/>
    <cellStyle name="SAPBEXexcCritical4 2 2 4" xfId="4167" xr:uid="{E44A9745-B29B-4CB7-BB55-853AC1F00305}"/>
    <cellStyle name="SAPBEXexcCritical4 2 3" xfId="1631" xr:uid="{10D59B6A-608F-4E0B-8EB9-046D8EEBFC21}"/>
    <cellStyle name="SAPBEXexcCritical4 2 3 2" xfId="3064" xr:uid="{8966A808-A7DA-4CF9-B3A9-B1FDDE7FB29B}"/>
    <cellStyle name="SAPBEXexcCritical4 2 3 2 2" xfId="5438" xr:uid="{AF7E31BA-01E8-494B-85C1-B15180C6AE6B}"/>
    <cellStyle name="SAPBEXexcCritical4 2 3 3" xfId="3058" xr:uid="{AF78A8B6-35C7-4136-9FE8-46F501FF0A92}"/>
    <cellStyle name="SAPBEXexcCritical4 2 3 3 2" xfId="5432" xr:uid="{DCD4D7C8-2336-449C-A138-CEFAF0D0F075}"/>
    <cellStyle name="SAPBEXexcCritical4 2 3 4" xfId="4168" xr:uid="{E5A4F7F9-47D1-46D8-8950-F853021F12A3}"/>
    <cellStyle name="SAPBEXexcCritical4 2 4" xfId="3157" xr:uid="{C265D26E-82EE-4E15-B6AC-2AB6FE9865E1}"/>
    <cellStyle name="SAPBEXexcCritical4 2 4 2" xfId="5531" xr:uid="{E67FE5A0-9FB1-4D3A-87DB-30628BC43A10}"/>
    <cellStyle name="SAPBEXexcCritical4 2 5" xfId="3131" xr:uid="{6E9BD25D-CA92-4C64-9A46-13F61EFAD820}"/>
    <cellStyle name="SAPBEXexcCritical4 2 5 2" xfId="5505" xr:uid="{E4EDA921-CCC2-4053-A3D7-417D260945DC}"/>
    <cellStyle name="SAPBEXexcCritical4 2 6" xfId="1629" xr:uid="{1EF9C3D3-1C30-4722-A998-9835764EF207}"/>
    <cellStyle name="SAPBEXexcCritical4 2 6 2" xfId="4166" xr:uid="{B8780D74-E7E2-4FCD-A007-B8AC3A775119}"/>
    <cellStyle name="SAPBEXexcCritical4 2 7" xfId="3353" xr:uid="{BAF03FC3-D881-49D3-B882-DBFEB58BD0EA}"/>
    <cellStyle name="SAPBEXexcCritical4 3" xfId="3117" xr:uid="{D04F99AD-0B26-4CC0-846F-700B31D6007A}"/>
    <cellStyle name="SAPBEXexcCritical4 3 2" xfId="5491" xr:uid="{2DE948B0-BB2E-43E8-94E9-D742A384BE4C}"/>
    <cellStyle name="SAPBEXexcCritical4 4" xfId="3084" xr:uid="{A09043AB-8DE8-4C4C-845E-69BEB47AAA5D}"/>
    <cellStyle name="SAPBEXexcCritical4 4 2" xfId="5458" xr:uid="{CD356C44-A11B-4DC8-BE69-FC1728F6FE4F}"/>
    <cellStyle name="SAPBEXexcCritical4 5" xfId="1628" xr:uid="{6C11D61F-CCF3-4C6C-B295-E691AD9A335C}"/>
    <cellStyle name="SAPBEXexcCritical4 5 2" xfId="4165" xr:uid="{6912ED93-F1AF-40E2-818C-FC32C021AC0B}"/>
    <cellStyle name="SAPBEXexcCritical4 6" xfId="3325" xr:uid="{05A865A3-C0F3-4CB0-B8DF-8A8A906A6701}"/>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2 2" xfId="5544" xr:uid="{CBCA7948-A564-4896-BCA2-4E1496059957}"/>
    <cellStyle name="SAPBEXexcCritical5 2 2 3" xfId="3268" xr:uid="{639076DC-F045-46B7-8A64-C408B796BA5A}"/>
    <cellStyle name="SAPBEXexcCritical5 2 2 3 2" xfId="5642" xr:uid="{75452D6C-C1F9-4FC2-AF3F-0A18D43B7822}"/>
    <cellStyle name="SAPBEXexcCritical5 2 2 4" xfId="4171" xr:uid="{6F0E7D19-4BB2-42ED-993A-037B0F5288D9}"/>
    <cellStyle name="SAPBEXexcCritical5 2 3" xfId="1635" xr:uid="{0444B89F-6AAD-4FFD-9380-24C96D8E632A}"/>
    <cellStyle name="SAPBEXexcCritical5 2 3 2" xfId="3181" xr:uid="{8DA2C76D-3603-43E3-B9B9-9A3A3EAAD459}"/>
    <cellStyle name="SAPBEXexcCritical5 2 3 2 2" xfId="5555" xr:uid="{66DCDC63-C60F-4A0C-9B58-096EC37A38F0}"/>
    <cellStyle name="SAPBEXexcCritical5 2 3 3" xfId="3186" xr:uid="{91A26455-F53A-4D4F-8568-EEBB3671584F}"/>
    <cellStyle name="SAPBEXexcCritical5 2 3 3 2" xfId="5560" xr:uid="{BB235A62-A872-499F-8AE0-1627B36683E4}"/>
    <cellStyle name="SAPBEXexcCritical5 2 3 4" xfId="4172" xr:uid="{48E59927-4CB3-4BD9-A84A-E7DA9F989D41}"/>
    <cellStyle name="SAPBEXexcCritical5 2 4" xfId="3120" xr:uid="{7DA2E082-ABA2-4B0B-B5DD-046FB52CFF04}"/>
    <cellStyle name="SAPBEXexcCritical5 2 4 2" xfId="5494" xr:uid="{A0DA2A8D-BA17-4C5A-9094-6DC095307C70}"/>
    <cellStyle name="SAPBEXexcCritical5 2 5" xfId="3202" xr:uid="{3E60FAA2-355A-4F2B-A11E-936342ABBA02}"/>
    <cellStyle name="SAPBEXexcCritical5 2 5 2" xfId="5576" xr:uid="{EBDBC85F-99C6-41F8-8ED6-AEB952F8EFA9}"/>
    <cellStyle name="SAPBEXexcCritical5 2 6" xfId="1633" xr:uid="{76AF7256-7E04-42B0-B1CB-A1B62B2D939E}"/>
    <cellStyle name="SAPBEXexcCritical5 2 6 2" xfId="4170" xr:uid="{B1805BE6-974B-43C2-B9D1-F73A59E535B0}"/>
    <cellStyle name="SAPBEXexcCritical5 2 7" xfId="3354" xr:uid="{E91D675A-FEAB-4503-8719-C1F7F976F02A}"/>
    <cellStyle name="SAPBEXexcCritical5 3" xfId="3278" xr:uid="{B9776818-624A-4106-9868-0C1A0C4AD335}"/>
    <cellStyle name="SAPBEXexcCritical5 3 2" xfId="5652" xr:uid="{DEFF48EB-FE88-4DA5-AC8F-9D597FF444F7}"/>
    <cellStyle name="SAPBEXexcCritical5 4" xfId="3066" xr:uid="{6F98B9B1-EB13-4F84-84CE-5132936C4AFA}"/>
    <cellStyle name="SAPBEXexcCritical5 4 2" xfId="5440" xr:uid="{E812C69D-D1CA-4285-BAE4-D98FC6EF1B0A}"/>
    <cellStyle name="SAPBEXexcCritical5 5" xfId="1632" xr:uid="{520696D9-1288-4A60-AB3D-7A8520C9C81B}"/>
    <cellStyle name="SAPBEXexcCritical5 5 2" xfId="4169" xr:uid="{FD613DE3-A09B-4BF8-ADA0-5D3646439CFD}"/>
    <cellStyle name="SAPBEXexcCritical5 6" xfId="3326" xr:uid="{71A5B541-1EEB-4070-AD63-148411EE0493}"/>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2 2" xfId="5422" xr:uid="{1B0F262A-1ACE-46D7-8653-270D6F271017}"/>
    <cellStyle name="SAPBEXexcCritical6 2 2 3" xfId="3138" xr:uid="{91DB0BFB-B6F2-43AF-B9D7-6DEDC46C1789}"/>
    <cellStyle name="SAPBEXexcCritical6 2 2 3 2" xfId="5512" xr:uid="{A7DE4DAD-5FD5-4F11-89A9-786577012A36}"/>
    <cellStyle name="SAPBEXexcCritical6 2 2 4" xfId="4175" xr:uid="{9EEA5C87-E582-46D5-85CE-14567D98BB23}"/>
    <cellStyle name="SAPBEXexcCritical6 2 3" xfId="1639" xr:uid="{AA9489A8-F72C-4664-A223-F36D56B4804F}"/>
    <cellStyle name="SAPBEXexcCritical6 2 3 2" xfId="3074" xr:uid="{D8C71C81-57F3-4977-BCF1-3B6BDBC8CEFE}"/>
    <cellStyle name="SAPBEXexcCritical6 2 3 2 2" xfId="5448" xr:uid="{DF9960BA-FC1C-4F5C-8785-211211EBEE97}"/>
    <cellStyle name="SAPBEXexcCritical6 2 3 3" xfId="3051" xr:uid="{FC0A2E2B-027B-4878-BDE3-E5EB94D8453F}"/>
    <cellStyle name="SAPBEXexcCritical6 2 3 3 2" xfId="5425" xr:uid="{4A1225AA-3993-40DD-B2F2-690BD9DA1259}"/>
    <cellStyle name="SAPBEXexcCritical6 2 3 4" xfId="4176" xr:uid="{E1470DD5-8C3F-4186-9979-E5BA65E53E1D}"/>
    <cellStyle name="SAPBEXexcCritical6 2 4" xfId="3106" xr:uid="{B258FCF1-CF81-45FF-8856-75FCD82EBD51}"/>
    <cellStyle name="SAPBEXexcCritical6 2 4 2" xfId="5480" xr:uid="{4BE7666C-0A92-4DA0-9830-804EA3D1F538}"/>
    <cellStyle name="SAPBEXexcCritical6 2 5" xfId="3071" xr:uid="{B397E12C-61C1-4BF4-A31D-7DB15391DD9F}"/>
    <cellStyle name="SAPBEXexcCritical6 2 5 2" xfId="5445" xr:uid="{3B720C15-A9EE-44C5-A9F4-1E1D0FF563B9}"/>
    <cellStyle name="SAPBEXexcCritical6 2 6" xfId="1637" xr:uid="{DBADD464-E9D8-4FFA-8C6F-6C9E07397993}"/>
    <cellStyle name="SAPBEXexcCritical6 2 6 2" xfId="4174" xr:uid="{EF77C0BF-B3D8-49BC-9475-2130886E812B}"/>
    <cellStyle name="SAPBEXexcCritical6 2 7" xfId="3355" xr:uid="{998FC712-C609-4936-9B4D-E40B22C74833}"/>
    <cellStyle name="SAPBEXexcCritical6 3" xfId="3209" xr:uid="{6120F2CA-1115-4675-B1BA-F246C8B822EC}"/>
    <cellStyle name="SAPBEXexcCritical6 3 2" xfId="5583" xr:uid="{A25D4061-B44C-4432-A64D-7A68609ADD44}"/>
    <cellStyle name="SAPBEXexcCritical6 4" xfId="3169" xr:uid="{CE2F60A9-6DC1-41E2-AFCF-AF6F320C4523}"/>
    <cellStyle name="SAPBEXexcCritical6 4 2" xfId="5543" xr:uid="{8C943CDE-9301-4D99-A7AA-0BAFE7E47A3B}"/>
    <cellStyle name="SAPBEXexcCritical6 5" xfId="1636" xr:uid="{42AAD9FE-5F43-4F0B-856A-815D1319F75D}"/>
    <cellStyle name="SAPBEXexcCritical6 5 2" xfId="4173" xr:uid="{7D368F3B-6A25-4C2D-A9E3-97338C5453CB}"/>
    <cellStyle name="SAPBEXexcCritical6 6" xfId="3327" xr:uid="{FC118B92-247B-4304-8199-5EA193755A9C}"/>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2 2" xfId="5542" xr:uid="{7A3207AC-843B-4A02-8080-65882766DBAD}"/>
    <cellStyle name="SAPBEXexcGood1 2 2 3" xfId="3250" xr:uid="{3A462838-BEAD-47B2-92C8-962EF0BB8034}"/>
    <cellStyle name="SAPBEXexcGood1 2 2 3 2" xfId="5624" xr:uid="{8B397900-3B47-4955-A20C-5C08FC27847D}"/>
    <cellStyle name="SAPBEXexcGood1 2 2 4" xfId="4179" xr:uid="{8A937F81-A36D-437A-99BB-EBE8FE639102}"/>
    <cellStyle name="SAPBEXexcGood1 2 3" xfId="1643" xr:uid="{4E0ACAC5-6094-48CB-9F1F-DEB6B6399A8B}"/>
    <cellStyle name="SAPBEXexcGood1 2 3 2" xfId="3269" xr:uid="{17283035-CAFC-4D01-8F1B-5321BB5B72F4}"/>
    <cellStyle name="SAPBEXexcGood1 2 3 2 2" xfId="5643" xr:uid="{D7F1286B-75A0-4FBB-83A6-CA4F7A220BE5}"/>
    <cellStyle name="SAPBEXexcGood1 2 3 3" xfId="3236" xr:uid="{07AF9F8C-8D92-4B42-9763-2477AB3960EB}"/>
    <cellStyle name="SAPBEXexcGood1 2 3 3 2" xfId="5610" xr:uid="{06E7995B-46B6-47E1-A9D0-17642BD5454F}"/>
    <cellStyle name="SAPBEXexcGood1 2 3 4" xfId="4180" xr:uid="{AAACA7D2-73D3-42C7-828C-C3E887500A36}"/>
    <cellStyle name="SAPBEXexcGood1 2 4" xfId="3076" xr:uid="{BA228D25-8D11-4FA9-9745-E16A0C0CB133}"/>
    <cellStyle name="SAPBEXexcGood1 2 4 2" xfId="5450" xr:uid="{F0C52F41-1034-43E6-B1D0-BF85CFB9ECF7}"/>
    <cellStyle name="SAPBEXexcGood1 2 5" xfId="3212" xr:uid="{B460CD2F-80BC-4E54-BDEB-F4904EF1E9E2}"/>
    <cellStyle name="SAPBEXexcGood1 2 5 2" xfId="5586" xr:uid="{8C5A2DDD-73CF-4458-BD02-99F0B50DA563}"/>
    <cellStyle name="SAPBEXexcGood1 2 6" xfId="1641" xr:uid="{0E826CEF-3713-44D0-B5EB-803196A32B33}"/>
    <cellStyle name="SAPBEXexcGood1 2 6 2" xfId="4178" xr:uid="{81227BD5-F338-4492-89C2-A0A0B2143FCC}"/>
    <cellStyle name="SAPBEXexcGood1 2 7" xfId="3356" xr:uid="{A95EBBEC-4CFC-47C3-9528-FEBEDA759BBC}"/>
    <cellStyle name="SAPBEXexcGood1 3" xfId="3249" xr:uid="{7F68F78E-2F43-4C6C-988E-2CCFC1F91307}"/>
    <cellStyle name="SAPBEXexcGood1 3 2" xfId="5623" xr:uid="{FC46A674-54CA-4143-8066-4A73CBDDB29A}"/>
    <cellStyle name="SAPBEXexcGood1 4" xfId="3127" xr:uid="{B0318D05-E042-40AF-AE42-2308ACCE50A3}"/>
    <cellStyle name="SAPBEXexcGood1 4 2" xfId="5501" xr:uid="{BBF72E8A-950E-4FA1-AB34-FAFDFC5A3E87}"/>
    <cellStyle name="SAPBEXexcGood1 5" xfId="1640" xr:uid="{6544DC32-F387-41D8-9B3E-EB9BF2725F9B}"/>
    <cellStyle name="SAPBEXexcGood1 5 2" xfId="4177" xr:uid="{8F7CF46A-A543-458A-B91C-4663283BCDCD}"/>
    <cellStyle name="SAPBEXexcGood1 6" xfId="3328" xr:uid="{46ECF049-B470-46FC-9AA4-922561F79820}"/>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2 2" xfId="5528" xr:uid="{2F1DC876-2FE1-4477-89AC-0B8A8A1F9AF4}"/>
    <cellStyle name="SAPBEXexcGood2 2 2 3" xfId="3118" xr:uid="{FE8306C3-A9C1-4246-9161-697E30C9FB54}"/>
    <cellStyle name="SAPBEXexcGood2 2 2 3 2" xfId="5492" xr:uid="{6CEA24C8-452A-42AA-BF8C-7BFD7F5C77DF}"/>
    <cellStyle name="SAPBEXexcGood2 2 2 4" xfId="4183" xr:uid="{CAD4FA70-642F-4AA9-801E-9F4CFD90D89A}"/>
    <cellStyle name="SAPBEXexcGood2 2 3" xfId="1647" xr:uid="{2473FCFE-E1DC-453F-8181-03FD9E3BDE54}"/>
    <cellStyle name="SAPBEXexcGood2 2 3 2" xfId="3270" xr:uid="{B2174A8E-A5DD-4A69-8530-1AAA321F4D91}"/>
    <cellStyle name="SAPBEXexcGood2 2 3 2 2" xfId="5644" xr:uid="{03815C29-5547-4285-8D8B-FCAF5F0A8AEB}"/>
    <cellStyle name="SAPBEXexcGood2 2 3 3" xfId="3225" xr:uid="{5777397E-8956-4ADC-9053-991FB2497404}"/>
    <cellStyle name="SAPBEXexcGood2 2 3 3 2" xfId="5599" xr:uid="{9471E41C-02D7-432F-87E7-74C5E70C42F1}"/>
    <cellStyle name="SAPBEXexcGood2 2 3 4" xfId="4184" xr:uid="{E2274566-BCF0-4D83-8C4C-F95873F11BD6}"/>
    <cellStyle name="SAPBEXexcGood2 2 4" xfId="3129" xr:uid="{4E4D8A40-14DB-4FDE-B241-D5E1A3BEAF28}"/>
    <cellStyle name="SAPBEXexcGood2 2 4 2" xfId="5503" xr:uid="{670FF6B5-69F2-42C9-9929-158B075ADB03}"/>
    <cellStyle name="SAPBEXexcGood2 2 5" xfId="3087" xr:uid="{8E4F3D60-E7E9-42FA-ADF5-7CAD1946D1A9}"/>
    <cellStyle name="SAPBEXexcGood2 2 5 2" xfId="5461" xr:uid="{75DF8946-298F-4072-92FB-FF3A14AB3371}"/>
    <cellStyle name="SAPBEXexcGood2 2 6" xfId="1645" xr:uid="{E5C11307-DEB0-4D1E-8A3F-851ABD93C9E2}"/>
    <cellStyle name="SAPBEXexcGood2 2 6 2" xfId="4182" xr:uid="{AF210221-3C4E-4AB8-85A3-109E598AFB23}"/>
    <cellStyle name="SAPBEXexcGood2 2 7" xfId="3357" xr:uid="{24267C96-15E6-4B6E-ABED-0955E740FB20}"/>
    <cellStyle name="SAPBEXexcGood2 3" xfId="3267" xr:uid="{6125C4BE-304B-499E-BEB6-74E44473E6C9}"/>
    <cellStyle name="SAPBEXexcGood2 3 2" xfId="5641" xr:uid="{11F3D0C2-1EBA-47CB-BF32-CD5222C15CAF}"/>
    <cellStyle name="SAPBEXexcGood2 4" xfId="3205" xr:uid="{6A59D1C4-82F1-478C-AD0F-0CA4FBBC8A9E}"/>
    <cellStyle name="SAPBEXexcGood2 4 2" xfId="5579" xr:uid="{DEB77ED5-5F7A-48F7-B604-6D321B1A6B3E}"/>
    <cellStyle name="SAPBEXexcGood2 5" xfId="1644" xr:uid="{C01ECB1E-F108-4707-BAA2-21BB02687559}"/>
    <cellStyle name="SAPBEXexcGood2 5 2" xfId="4181" xr:uid="{03DCBBEE-DE8B-4501-A57D-0C486E4B67A0}"/>
    <cellStyle name="SAPBEXexcGood2 6" xfId="3329" xr:uid="{906DAD6D-5458-4A1C-9568-BF2F558808ED}"/>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2 2" xfId="5656" xr:uid="{1A300843-3EEA-4A94-AE9A-06AE82F0B7B1}"/>
    <cellStyle name="SAPBEXexcGood3 2 2 3" xfId="3251" xr:uid="{E331FDCF-DEE1-4B87-AF4F-33BBDDE408DD}"/>
    <cellStyle name="SAPBEXexcGood3 2 2 3 2" xfId="5625" xr:uid="{22983CC6-C5A5-4DD1-A64C-BEE7DFDF0BB0}"/>
    <cellStyle name="SAPBEXexcGood3 2 2 4" xfId="4187" xr:uid="{66839DB0-6299-40AB-849C-DA1991A2CBB9}"/>
    <cellStyle name="SAPBEXexcGood3 2 3" xfId="1651" xr:uid="{7E1C8BD4-697A-40D3-BD28-0513C712BF87}"/>
    <cellStyle name="SAPBEXexcGood3 2 3 2" xfId="3246" xr:uid="{980396A0-5E14-4DAA-ADD7-B32E9CD680E2}"/>
    <cellStyle name="SAPBEXexcGood3 2 3 2 2" xfId="5620" xr:uid="{62B57022-0278-4C34-823D-5546C67FC23F}"/>
    <cellStyle name="SAPBEXexcGood3 2 3 3" xfId="3124" xr:uid="{846BD0DA-2A4F-4A27-A3D1-222BABF0A339}"/>
    <cellStyle name="SAPBEXexcGood3 2 3 3 2" xfId="5498" xr:uid="{FAC9D116-4CA1-42DA-9178-33804783C0F2}"/>
    <cellStyle name="SAPBEXexcGood3 2 3 4" xfId="4188" xr:uid="{7FE7AC29-2509-4136-A931-9F26A5504DB7}"/>
    <cellStyle name="SAPBEXexcGood3 2 4" xfId="3063" xr:uid="{31E110BC-DAA4-4F81-82B2-0DC73FDD6A7A}"/>
    <cellStyle name="SAPBEXexcGood3 2 4 2" xfId="5437" xr:uid="{320CB6DB-26E7-4714-833B-5015D8DFB608}"/>
    <cellStyle name="SAPBEXexcGood3 2 5" xfId="3115" xr:uid="{5EF2567F-B64C-4B48-9894-B9E058A273D4}"/>
    <cellStyle name="SAPBEXexcGood3 2 5 2" xfId="5489" xr:uid="{B621CCF8-9A0A-4F35-88D5-C7A5D5B7D421}"/>
    <cellStyle name="SAPBEXexcGood3 2 6" xfId="1649" xr:uid="{E35BCF35-6DC0-4F6D-86AE-A309F77FA97A}"/>
    <cellStyle name="SAPBEXexcGood3 2 6 2" xfId="4186" xr:uid="{C3CCB38D-0EAA-4A66-B430-D78697D94A59}"/>
    <cellStyle name="SAPBEXexcGood3 2 7" xfId="3358" xr:uid="{FB6E062E-B69F-4A81-8BE5-6E8646FD04C4}"/>
    <cellStyle name="SAPBEXexcGood3 3" xfId="3069" xr:uid="{6407E7F9-5EB6-4C10-BAFD-1C8AF442B495}"/>
    <cellStyle name="SAPBEXexcGood3 3 2" xfId="5443" xr:uid="{7BE3B646-06D3-4111-8367-DAE5937D5B70}"/>
    <cellStyle name="SAPBEXexcGood3 4" xfId="3164" xr:uid="{1CC7D2F6-EB72-4CBD-BD6B-1D8CE0A52C24}"/>
    <cellStyle name="SAPBEXexcGood3 4 2" xfId="5538" xr:uid="{3EF6B874-47E8-427C-A9EB-42BBF0D6E69C}"/>
    <cellStyle name="SAPBEXexcGood3 5" xfId="1648" xr:uid="{8F14273A-1D45-488C-B08E-57660CD41D2B}"/>
    <cellStyle name="SAPBEXexcGood3 5 2" xfId="4185" xr:uid="{F48DE49A-F62A-42B6-BA3B-32456A3FC4AB}"/>
    <cellStyle name="SAPBEXexcGood3 6" xfId="3330" xr:uid="{BC41B650-A88D-45EE-BB95-9115F42084AC}"/>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2 2" xfId="5596" xr:uid="{7053E96B-B29C-4C17-99B1-1310557A8857}"/>
    <cellStyle name="SAPBEXfilterDrill 2 2 3" xfId="3101" xr:uid="{3B442078-63BE-4AEE-96D0-E928A0737388}"/>
    <cellStyle name="SAPBEXfilterDrill 2 2 3 2" xfId="5475" xr:uid="{3BE18AD4-45DF-40F0-8004-4CE00D4BA6C5}"/>
    <cellStyle name="SAPBEXfilterDrill 2 2 4" xfId="4191" xr:uid="{ED18476B-5750-4FEE-AC15-FA08093A0C11}"/>
    <cellStyle name="SAPBEXfilterDrill 2 3" xfId="1655" xr:uid="{E4714BA9-B7CE-431B-90D2-7B5837BD2C35}"/>
    <cellStyle name="SAPBEXfilterDrill 2 3 2" xfId="3047" xr:uid="{46AD5C18-16D2-4345-9C19-F0F99E64C55C}"/>
    <cellStyle name="SAPBEXfilterDrill 2 3 2 2" xfId="5421" xr:uid="{4CFBF9A6-C1D9-4125-A32B-9A5CA1555E83}"/>
    <cellStyle name="SAPBEXfilterDrill 2 3 3" xfId="3174" xr:uid="{09822ECA-A373-4A99-9E60-20A853CC7107}"/>
    <cellStyle name="SAPBEXfilterDrill 2 3 3 2" xfId="5548" xr:uid="{F4975F0F-C316-4060-8D00-12E354E303FA}"/>
    <cellStyle name="SAPBEXfilterDrill 2 3 4" xfId="4192" xr:uid="{0E786D51-0CA6-4F4F-A83A-22CC4F26AFAD}"/>
    <cellStyle name="SAPBEXfilterDrill 2 4" xfId="3136" xr:uid="{DF46AE6B-73F0-43A0-8548-4B85734E9A24}"/>
    <cellStyle name="SAPBEXfilterDrill 2 4 2" xfId="5510" xr:uid="{86D29935-3708-485A-ADBB-D1B1CBB7E7FE}"/>
    <cellStyle name="SAPBEXfilterDrill 2 5" xfId="3112" xr:uid="{C076FA5F-BF2D-4DF0-8B92-561EB2BD1C7D}"/>
    <cellStyle name="SAPBEXfilterDrill 2 5 2" xfId="5486" xr:uid="{2EDD4B0B-D394-4E56-8ED2-183668E6949C}"/>
    <cellStyle name="SAPBEXfilterDrill 2 6" xfId="4190" xr:uid="{55961F2E-9553-4299-87A9-E9B3900164F2}"/>
    <cellStyle name="SAPBEXfilterDrill 3" xfId="3075" xr:uid="{442107BC-4A92-4792-B707-2B4E74AC37AC}"/>
    <cellStyle name="SAPBEXfilterDrill 3 2" xfId="5449" xr:uid="{422B98E0-FC46-4A04-A67E-727A455A4FA3}"/>
    <cellStyle name="SAPBEXfilterDrill 4" xfId="3204" xr:uid="{512064FE-81AE-4DED-AC66-7294DEF7C46A}"/>
    <cellStyle name="SAPBEXfilterDrill 4 2" xfId="5578" xr:uid="{83853B67-C0F6-435C-8610-61C05FD90FD2}"/>
    <cellStyle name="SAPBEXfilterDrill 5" xfId="1652" xr:uid="{CA55BA2E-CB05-434B-99BA-681A7FBE4E84}"/>
    <cellStyle name="SAPBEXfilterDrill 5 2" xfId="4189" xr:uid="{80BBCFE2-E247-44FE-852B-23A842F0CC61}"/>
    <cellStyle name="SAPBEXfilterItem" xfId="87" xr:uid="{00000000-0005-0000-0000-00003F030000}"/>
    <cellStyle name="SAPBEXfilterItem 2" xfId="137" xr:uid="{00000000-0005-0000-0000-000040030000}"/>
    <cellStyle name="SAPBEXfilterItem 2 2" xfId="3196" xr:uid="{26DDC478-4B83-40C9-A39F-3DFB8178C2FD}"/>
    <cellStyle name="SAPBEXfilterItem 2 2 2" xfId="5570" xr:uid="{CB3B5C81-7E4D-4A85-99A3-A3E07ACDBA76}"/>
    <cellStyle name="SAPBEXfilterItem 2 3" xfId="3198" xr:uid="{18D34F26-06AC-4E81-8EBB-36EE3DB2368F}"/>
    <cellStyle name="SAPBEXfilterItem 2 3 2" xfId="5572" xr:uid="{773F0752-3C13-4350-8BA2-F84B3FA426BB}"/>
    <cellStyle name="SAPBEXfilterItem 2 4" xfId="1657" xr:uid="{B3C68D2B-7FF0-4A4F-BE6C-452FFD3B9A86}"/>
    <cellStyle name="SAPBEXfilterItem 2 4 2" xfId="4194" xr:uid="{BADF643C-7B1F-47DC-AAD9-36DBF43F6CB7}"/>
    <cellStyle name="SAPBEXfilterItem 3" xfId="3056" xr:uid="{55CFED75-56D0-456E-A9BC-2CB3D061E5F6}"/>
    <cellStyle name="SAPBEXfilterItem 3 2" xfId="5430" xr:uid="{0B6E4E49-5243-468F-827D-FFF4F5855A6D}"/>
    <cellStyle name="SAPBEXfilterItem 4" xfId="1656" xr:uid="{7BC29FEA-E576-4E4F-B57E-5D6DE5502520}"/>
    <cellStyle name="SAPBEXfilterItem 4 2" xfId="4193" xr:uid="{2B7614F3-829F-48A3-B1AB-23DA9A31AB70}"/>
    <cellStyle name="SAPBEXfilterText" xfId="88" xr:uid="{00000000-0005-0000-0000-000041030000}"/>
    <cellStyle name="SAPBEXfilterText 2" xfId="1659" xr:uid="{2EAFFB29-3F08-4266-9241-CF3B4D1C05DF}"/>
    <cellStyle name="SAPBEXfilterText 2 2" xfId="3203" xr:uid="{EBF5D647-6FFC-4536-B73D-A6D2CE56CD38}"/>
    <cellStyle name="SAPBEXfilterText 2 2 2" xfId="5577" xr:uid="{5DE59176-53CC-48B1-86F4-19B02BA80C12}"/>
    <cellStyle name="SAPBEXfilterText 2 3" xfId="3280" xr:uid="{202CDC45-E8FE-4DD6-B36E-5ABA6ED71F2F}"/>
    <cellStyle name="SAPBEXfilterText 2 3 2" xfId="5654" xr:uid="{CF9B5040-88CA-4ABE-802C-1089F4EA4FB3}"/>
    <cellStyle name="SAPBEXfilterText 2 4" xfId="4195" xr:uid="{74510BFB-F991-44D6-937A-B7CA0C9CCE57}"/>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2 2" xfId="5614" xr:uid="{61461216-0E43-4C68-9E3D-2A464F6EF117}"/>
    <cellStyle name="SAPBEXformats 2 2 3" xfId="3223" xr:uid="{C685FAC2-D748-4A2A-BF82-05F7B49B2697}"/>
    <cellStyle name="SAPBEXformats 2 2 3 2" xfId="5597" xr:uid="{DB843D10-7BB6-46F8-BD10-DBC323980825}"/>
    <cellStyle name="SAPBEXformats 2 2 4" xfId="4198" xr:uid="{F4FC0D95-A6F1-466D-915D-3C1B6D079996}"/>
    <cellStyle name="SAPBEXformats 2 3" xfId="1663" xr:uid="{4ECBCEA1-C1DE-43CA-9D78-A002EE25FEF8}"/>
    <cellStyle name="SAPBEXformats 2 3 2" xfId="3155" xr:uid="{23FFB165-B6F0-4581-893D-729ED88952E7}"/>
    <cellStyle name="SAPBEXformats 2 3 2 2" xfId="5529" xr:uid="{060C118E-308D-4055-917C-98A4F4C339CA}"/>
    <cellStyle name="SAPBEXformats 2 3 3" xfId="3237" xr:uid="{892E4439-009D-4C49-9C82-117EE0905FB5}"/>
    <cellStyle name="SAPBEXformats 2 3 3 2" xfId="5611" xr:uid="{6998E6D8-AF2C-4DFA-966E-8D67361B595B}"/>
    <cellStyle name="SAPBEXformats 2 3 4" xfId="4199" xr:uid="{C4B4DB4D-ABE7-4AAB-A923-70CE0ED01437}"/>
    <cellStyle name="SAPBEXformats 2 4" xfId="3091" xr:uid="{4EE5D656-9808-4C75-8783-D09910C08B48}"/>
    <cellStyle name="SAPBEXformats 2 4 2" xfId="5465" xr:uid="{4E9E46AD-0A06-40FC-87CE-0D746DF72377}"/>
    <cellStyle name="SAPBEXformats 2 5" xfId="3182" xr:uid="{9E6AC1C4-FDF9-439F-9C11-65E3810FBF29}"/>
    <cellStyle name="SAPBEXformats 2 5 2" xfId="5556" xr:uid="{2258ED9B-459A-4C28-B529-2EA1F86BE229}"/>
    <cellStyle name="SAPBEXformats 2 6" xfId="1661" xr:uid="{917D38CA-E680-4611-95E8-770B9227277A}"/>
    <cellStyle name="SAPBEXformats 2 6 2" xfId="4197" xr:uid="{6DD99085-EBE9-42BF-8306-8DF0051632E8}"/>
    <cellStyle name="SAPBEXformats 2 7" xfId="3359" xr:uid="{67282BB5-1606-4917-8684-1E5585FD27D7}"/>
    <cellStyle name="SAPBEXformats 3" xfId="3092" xr:uid="{F8490C7C-FD25-42A3-932C-E6CF57BAE55A}"/>
    <cellStyle name="SAPBEXformats 3 2" xfId="5466" xr:uid="{7942C92D-6291-4D06-8DD7-3654AEE528B9}"/>
    <cellStyle name="SAPBEXformats 4" xfId="3185" xr:uid="{099559A9-2D0B-434F-A77C-A1E934A5D2B3}"/>
    <cellStyle name="SAPBEXformats 4 2" xfId="5559" xr:uid="{70B640DA-1EB5-4CDA-9988-1B2528A5DC34}"/>
    <cellStyle name="SAPBEXformats 5" xfId="1660" xr:uid="{EAD56A5B-43C3-43B1-8B8E-3A885F87B1DF}"/>
    <cellStyle name="SAPBEXformats 5 2" xfId="4196" xr:uid="{5D64FC15-9DCE-4B9B-BF08-FD3B17C1DEF7}"/>
    <cellStyle name="SAPBEXformats 6" xfId="3331" xr:uid="{5FCAA5D1-3DD9-4D9A-BD23-0F19E7716CF7}"/>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2 2" xfId="5499" xr:uid="{FF42C634-587E-449C-93A8-14D549956B01}"/>
    <cellStyle name="SAPBEXheaderItem 2 2 3" xfId="3277" xr:uid="{CEF6A255-19E9-4B31-B11E-448113DEA785}"/>
    <cellStyle name="SAPBEXheaderItem 2 2 3 2" xfId="5651" xr:uid="{35074C82-2305-49C0-9B70-96C6DD9640A9}"/>
    <cellStyle name="SAPBEXheaderItem 2 2 4" xfId="4202" xr:uid="{03F1D92C-A186-4D33-9DBA-3690E7E5274C}"/>
    <cellStyle name="SAPBEXheaderItem 2 3" xfId="1667" xr:uid="{73365FD4-F9FB-4AD2-BE01-15C597FDED53}"/>
    <cellStyle name="SAPBEXheaderItem 2 3 2" xfId="3121" xr:uid="{AD57CECD-DB90-43DE-942B-3E41AFAD88EA}"/>
    <cellStyle name="SAPBEXheaderItem 2 3 2 2" xfId="5495" xr:uid="{76278D70-69E2-4A9D-AE43-8A3F7EADA814}"/>
    <cellStyle name="SAPBEXheaderItem 2 3 3" xfId="3096" xr:uid="{40DAB32C-61C6-447C-86D5-175D4A8DB09C}"/>
    <cellStyle name="SAPBEXheaderItem 2 3 3 2" xfId="5470" xr:uid="{7D75FC85-98F1-4FAF-B742-1A13BE3B8185}"/>
    <cellStyle name="SAPBEXheaderItem 2 3 4" xfId="4203" xr:uid="{A9A9D296-7004-4036-A68A-16F192BC8166}"/>
    <cellStyle name="SAPBEXheaderItem 2 4" xfId="3146" xr:uid="{8EBE583F-0268-48B3-ABB7-26D48B03AA82}"/>
    <cellStyle name="SAPBEXheaderItem 2 4 2" xfId="5520" xr:uid="{D97CD8EA-F0D9-49B1-9DEE-28B7053DCEF8}"/>
    <cellStyle name="SAPBEXheaderItem 2 5" xfId="3079" xr:uid="{82072485-BD4E-442E-BEDF-A8749C5A7F18}"/>
    <cellStyle name="SAPBEXheaderItem 2 5 2" xfId="5453" xr:uid="{310C2548-118F-4D52-AF32-53416FB1B3FB}"/>
    <cellStyle name="SAPBEXheaderItem 2 6" xfId="4201" xr:uid="{0056D81F-A7E7-4DDE-979C-1DB9460DDFBD}"/>
    <cellStyle name="SAPBEXheaderItem 3" xfId="3235" xr:uid="{D53ABB5E-3643-42E6-9B21-08EEA69DE1EA}"/>
    <cellStyle name="SAPBEXheaderItem 3 2" xfId="5609" xr:uid="{3FA59EDC-C35D-492A-A1E5-E2C345BEE200}"/>
    <cellStyle name="SAPBEXheaderItem 4" xfId="3158" xr:uid="{3DB807E6-BD30-4779-92F2-3B6DCECDC804}"/>
    <cellStyle name="SAPBEXheaderItem 4 2" xfId="5532" xr:uid="{6474D8F1-7D40-4021-AE98-F47F34D6C3A3}"/>
    <cellStyle name="SAPBEXheaderItem 5" xfId="1664" xr:uid="{3FC98029-37DE-49A6-AC7E-ABAEE4420013}"/>
    <cellStyle name="SAPBEXheaderItem 5 2" xfId="4200" xr:uid="{76086955-234F-4136-9B84-B2A917BAB332}"/>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2 2" xfId="5657" xr:uid="{414D8BB8-CFD0-4093-ABE5-B230F01524A8}"/>
    <cellStyle name="SAPBEXheaderText 2 2 3" xfId="3130" xr:uid="{9A8FBC6B-CCFC-4273-B4B0-3A71ACAE7F34}"/>
    <cellStyle name="SAPBEXheaderText 2 2 3 2" xfId="5504" xr:uid="{68B6D192-6265-4206-B800-6461CE810633}"/>
    <cellStyle name="SAPBEXheaderText 2 2 4" xfId="4206" xr:uid="{73159E38-3E44-42D4-90F8-7CE32DDD6D65}"/>
    <cellStyle name="SAPBEXheaderText 2 3" xfId="1671" xr:uid="{FEA0F069-5E53-45FC-B583-57DCFC6F8D64}"/>
    <cellStyle name="SAPBEXheaderText 2 3 2" xfId="3285" xr:uid="{A25D66E2-9BCA-4761-95A1-FFC09244C22A}"/>
    <cellStyle name="SAPBEXheaderText 2 3 2 2" xfId="5659" xr:uid="{CF1ECA2C-9F8B-4C2A-80D8-7DE6C27F9706}"/>
    <cellStyle name="SAPBEXheaderText 2 3 3" xfId="3123" xr:uid="{ED5E1908-D043-40D6-B3FE-C7C82E1ED9ED}"/>
    <cellStyle name="SAPBEXheaderText 2 3 3 2" xfId="5497" xr:uid="{C6C4D615-4000-4D89-B223-4571C24EC008}"/>
    <cellStyle name="SAPBEXheaderText 2 3 4" xfId="4207" xr:uid="{AA5DFB8A-CF90-4295-BECD-2D4FC8662B8A}"/>
    <cellStyle name="SAPBEXheaderText 2 4" xfId="3233" xr:uid="{1DB7A1FF-F92F-4D76-B70B-C94F977E8EDB}"/>
    <cellStyle name="SAPBEXheaderText 2 4 2" xfId="5607" xr:uid="{2F5E3676-ECC9-4ECC-BBD0-60C24C6B4617}"/>
    <cellStyle name="SAPBEXheaderText 2 5" xfId="3221" xr:uid="{7D6BF8C5-3C2A-483B-9B40-F49916D94FD9}"/>
    <cellStyle name="SAPBEXheaderText 2 5 2" xfId="5595" xr:uid="{6B268ADE-4B28-4829-A717-CD84B50FF19D}"/>
    <cellStyle name="SAPBEXheaderText 2 6" xfId="4205" xr:uid="{E6342F36-CE35-47B4-981D-E57A7C13B659}"/>
    <cellStyle name="SAPBEXheaderText 3" xfId="3144" xr:uid="{7B55D53C-9EA3-4CF5-8157-D2F5E09B5BC5}"/>
    <cellStyle name="SAPBEXheaderText 3 2" xfId="5518" xr:uid="{4AABACDB-15FD-4D53-81ED-54DEF692B57A}"/>
    <cellStyle name="SAPBEXheaderText 4" xfId="3073" xr:uid="{FD02BF4F-842A-408B-8730-FBFD970C2019}"/>
    <cellStyle name="SAPBEXheaderText 4 2" xfId="5447" xr:uid="{5BB37F44-B6EC-4B48-883B-1C857B6C8E7E}"/>
    <cellStyle name="SAPBEXheaderText 5" xfId="1668" xr:uid="{6B0897FD-BAE9-4299-B132-3D800C1B68F2}"/>
    <cellStyle name="SAPBEXheaderText 5 2" xfId="4204" xr:uid="{941FF39E-0ACD-4884-9315-BD8014E4EBCF}"/>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2 2" xfId="5650" xr:uid="{67C54598-EA0C-4A8E-8E78-522D91B16776}"/>
    <cellStyle name="SAPBEXHLevel0 2 2 3" xfId="3065" xr:uid="{E914C898-D2BD-4BBF-BB68-AB6CC65734FD}"/>
    <cellStyle name="SAPBEXHLevel0 2 2 3 2" xfId="5439" xr:uid="{22420A2A-5B0E-4498-81BF-C3FCF8DF09C6}"/>
    <cellStyle name="SAPBEXHLevel0 2 2 4" xfId="4210" xr:uid="{4D2D2032-CD87-4438-A872-7A01B9E76135}"/>
    <cellStyle name="SAPBEXHLevel0 2 3" xfId="1675" xr:uid="{B27FC2F0-F263-4D18-879B-CF196FB0A6DE}"/>
    <cellStyle name="SAPBEXHLevel0 2 3 2" xfId="3057" xr:uid="{157B5CCA-3C69-47DC-9831-7EB07731AB6B}"/>
    <cellStyle name="SAPBEXHLevel0 2 3 2 2" xfId="5431" xr:uid="{98DD41C2-3EF9-48BA-9CEF-3CE9FEAAC7D4}"/>
    <cellStyle name="SAPBEXHLevel0 2 3 3" xfId="3067" xr:uid="{F6C17396-4025-4F47-9D88-B4D2F7AC8553}"/>
    <cellStyle name="SAPBEXHLevel0 2 3 3 2" xfId="5441" xr:uid="{6AF87A54-8310-4CD2-916C-989E45D03941}"/>
    <cellStyle name="SAPBEXHLevel0 2 3 4" xfId="4211" xr:uid="{1E425DBC-497B-488F-B450-7A39EE11CEF7}"/>
    <cellStyle name="SAPBEXHLevel0 2 4" xfId="3163" xr:uid="{C7A02F57-6BF0-4D0F-A1EF-52AB2D4AC8AD}"/>
    <cellStyle name="SAPBEXHLevel0 2 4 2" xfId="5537" xr:uid="{F15E12A2-C7BA-4164-B6E5-0AED0D55DCBC}"/>
    <cellStyle name="SAPBEXHLevel0 2 5" xfId="3234" xr:uid="{37AA15B5-E5C6-44D9-BCE9-E15CB5D70551}"/>
    <cellStyle name="SAPBEXHLevel0 2 5 2" xfId="5608" xr:uid="{546F3025-87DE-42C2-9D8D-8166404DE6A6}"/>
    <cellStyle name="SAPBEXHLevel0 2 6" xfId="1673" xr:uid="{4FFD3559-416C-4418-913E-589139F47BC8}"/>
    <cellStyle name="SAPBEXHLevel0 2 6 2" xfId="4209" xr:uid="{1E34678E-500A-48BF-A05B-21D1AC0CA4C2}"/>
    <cellStyle name="SAPBEXHLevel0 2 7" xfId="3831" xr:uid="{10861CCE-96AA-436F-8123-73632B7080AE}"/>
    <cellStyle name="SAPBEXHLevel0 3" xfId="3054" xr:uid="{5482EA0F-F472-4C49-9A3B-40D951BDFCC5}"/>
    <cellStyle name="SAPBEXHLevel0 3 2" xfId="5428" xr:uid="{E371F977-85F5-4832-B8D4-A1DB094B50F7}"/>
    <cellStyle name="SAPBEXHLevel0 4" xfId="3086" xr:uid="{7D43D4A9-CF33-4142-92D2-E01DEE52393D}"/>
    <cellStyle name="SAPBEXHLevel0 4 2" xfId="5460" xr:uid="{CE9E4384-1910-450D-B6D8-4CEDE851F24F}"/>
    <cellStyle name="SAPBEXHLevel0 5" xfId="1672" xr:uid="{260F3BE1-1942-46A2-A562-B5B766064538}"/>
    <cellStyle name="SAPBEXHLevel0 5 2" xfId="4208" xr:uid="{A23D882A-90AE-4A45-AF82-1161667287CC}"/>
    <cellStyle name="SAPBEXHLevel0 6" xfId="3332" xr:uid="{F3F976E6-7CF9-44FB-8D7E-4ADF0B963DA8}"/>
    <cellStyle name="SAPBEXHLevel0X" xfId="93" xr:uid="{00000000-0005-0000-0000-000047030000}"/>
    <cellStyle name="SAPBEXHLevel0X 2" xfId="934" xr:uid="{813EE4E2-02AD-4BA4-B4E0-FB3EBA2FA67B}"/>
    <cellStyle name="SAPBEXHLevel0X 2 2" xfId="3224" xr:uid="{8F8CCF87-FF13-4FCF-8670-1B867124CC4C}"/>
    <cellStyle name="SAPBEXHLevel0X 2 2 2" xfId="5598" xr:uid="{93707180-4E41-4695-86AA-9258B552ACEA}"/>
    <cellStyle name="SAPBEXHLevel0X 2 3" xfId="3219" xr:uid="{D8C54BDF-2670-4CE5-B37F-B38527CA0278}"/>
    <cellStyle name="SAPBEXHLevel0X 2 3 2" xfId="5593" xr:uid="{41B27FAC-2F4B-454D-9C00-FDFE2E2788FB}"/>
    <cellStyle name="SAPBEXHLevel0X 2 4" xfId="1677" xr:uid="{32B63010-329F-4D76-8A7F-9FD229022CDF}"/>
    <cellStyle name="SAPBEXHLevel0X 2 4 2" xfId="4213" xr:uid="{3A448438-42D0-413C-AAA4-3538A5A2A881}"/>
    <cellStyle name="SAPBEXHLevel0X 2 5" xfId="3832" xr:uid="{59FDBCFC-53B4-4141-BECF-756F00B25457}"/>
    <cellStyle name="SAPBEXHLevel0X 3" xfId="3199" xr:uid="{EEAFB0A1-DEB3-4A98-875C-62B4CB6B81A9}"/>
    <cellStyle name="SAPBEXHLevel0X 3 2" xfId="5573" xr:uid="{2F620243-F1BE-4A4B-A50C-BAC29950D417}"/>
    <cellStyle name="SAPBEXHLevel0X 4" xfId="3193" xr:uid="{DCBA5B0E-57AA-4F1F-944D-44CB4BBA7ECC}"/>
    <cellStyle name="SAPBEXHLevel0X 4 2" xfId="5567" xr:uid="{FD762F34-C532-4821-AF39-F44AD444FB20}"/>
    <cellStyle name="SAPBEXHLevel0X 5" xfId="1676" xr:uid="{2B51D8E9-D1A4-403B-B2D6-36E138A0549F}"/>
    <cellStyle name="SAPBEXHLevel0X 5 2" xfId="4212" xr:uid="{B2398A4B-4FBD-4021-B9DF-43FE3BE8297B}"/>
    <cellStyle name="SAPBEXHLevel0X 6" xfId="3333" xr:uid="{3CA242C7-29FF-43C4-93C8-8237320BEBB9}"/>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2 2" xfId="5562" xr:uid="{C05670E2-8557-4329-A35F-B2CB9C8977B3}"/>
    <cellStyle name="SAPBEXHLevel1 2 2 3" xfId="3216" xr:uid="{D96BDD4F-CBA9-41F6-AFCD-C9E5F4E88061}"/>
    <cellStyle name="SAPBEXHLevel1 2 2 3 2" xfId="5590" xr:uid="{4B98FEE1-E63E-42DE-A728-A17C2392D67A}"/>
    <cellStyle name="SAPBEXHLevel1 2 2 4" xfId="4216" xr:uid="{C503C903-EF2D-4CE5-8CF0-60915A1849C1}"/>
    <cellStyle name="SAPBEXHLevel1 2 3" xfId="1681" xr:uid="{81F47840-BE41-487F-8D39-AC08035EE070}"/>
    <cellStyle name="SAPBEXHLevel1 2 3 2" xfId="3061" xr:uid="{DC77A17B-E078-43F2-8B44-84E2BEF2B92B}"/>
    <cellStyle name="SAPBEXHLevel1 2 3 2 2" xfId="5435" xr:uid="{847C2E62-C60A-41D5-A260-087FD74DB7A6}"/>
    <cellStyle name="SAPBEXHLevel1 2 3 3" xfId="3179" xr:uid="{1B4A4CE9-03F6-48EE-8A89-03514D11A30B}"/>
    <cellStyle name="SAPBEXHLevel1 2 3 3 2" xfId="5553" xr:uid="{FAFFB840-C00D-40FE-8EAB-3713BF2DAB3E}"/>
    <cellStyle name="SAPBEXHLevel1 2 3 4" xfId="4217" xr:uid="{D0219CC4-9FFA-41D3-8883-6E6FD828D63E}"/>
    <cellStyle name="SAPBEXHLevel1 2 4" xfId="3226" xr:uid="{8ABAB0FD-D553-443E-A739-3BCA558E441E}"/>
    <cellStyle name="SAPBEXHLevel1 2 4 2" xfId="5600" xr:uid="{85407F7F-98BC-40E0-8AC7-AF5B0FB7678A}"/>
    <cellStyle name="SAPBEXHLevel1 2 5" xfId="3072" xr:uid="{6A09DDA2-6E4D-409D-962E-F08B34156114}"/>
    <cellStyle name="SAPBEXHLevel1 2 5 2" xfId="5446" xr:uid="{F44605D7-3459-4E22-A41F-008BA6B8B497}"/>
    <cellStyle name="SAPBEXHLevel1 2 6" xfId="1679" xr:uid="{B67C742D-F57F-428E-985D-E5EAFEE208DC}"/>
    <cellStyle name="SAPBEXHLevel1 2 6 2" xfId="4215" xr:uid="{828776C1-509B-4ABE-8BED-4F6EBF21ED2B}"/>
    <cellStyle name="SAPBEXHLevel1 2 7" xfId="3833" xr:uid="{B103F903-BAE2-4AE8-8E68-8E73ED73E25F}"/>
    <cellStyle name="SAPBEXHLevel1 3" xfId="3281" xr:uid="{BA804709-4A62-4CB3-BA1A-E9A6DDE4BCBF}"/>
    <cellStyle name="SAPBEXHLevel1 3 2" xfId="5655" xr:uid="{91C5EA0F-4F11-4D36-B0E1-B0B387E9720B}"/>
    <cellStyle name="SAPBEXHLevel1 4" xfId="3242" xr:uid="{F31E819A-0659-483B-8D96-6110D3190870}"/>
    <cellStyle name="SAPBEXHLevel1 4 2" xfId="5616" xr:uid="{2907E35E-5ECF-44ED-B12D-F1703BC9ECB3}"/>
    <cellStyle name="SAPBEXHLevel1 5" xfId="1678" xr:uid="{62258D7D-8031-45D0-90DB-1C1F40C782D3}"/>
    <cellStyle name="SAPBEXHLevel1 5 2" xfId="4214" xr:uid="{2F4A9481-9E6A-4F97-B4F3-B169FE04D6AA}"/>
    <cellStyle name="SAPBEXHLevel1 6" xfId="3334" xr:uid="{F2DE6417-491D-41F8-8ED7-F4751EAE75B6}"/>
    <cellStyle name="SAPBEXHLevel1X" xfId="95" xr:uid="{00000000-0005-0000-0000-000049030000}"/>
    <cellStyle name="SAPBEXHLevel1X 2" xfId="936" xr:uid="{4198AE00-CB9B-4A91-9629-87766F783E40}"/>
    <cellStyle name="SAPBEXHLevel1X 2 2" xfId="3132" xr:uid="{F6549A4C-F75A-40FC-A0C6-95A2F56842B1}"/>
    <cellStyle name="SAPBEXHLevel1X 2 2 2" xfId="5506" xr:uid="{DBBAAEF4-E339-4A4D-B28A-9A21B98FBBE6}"/>
    <cellStyle name="SAPBEXHLevel1X 2 3" xfId="3102" xr:uid="{D401DEA8-3682-4F5A-9E5C-43DD484DBCA8}"/>
    <cellStyle name="SAPBEXHLevel1X 2 3 2" xfId="5476" xr:uid="{72EDAC8F-2CC7-405D-99EB-8802383E58E4}"/>
    <cellStyle name="SAPBEXHLevel1X 2 4" xfId="1683" xr:uid="{EB5E3A6F-DCF9-4D74-81D2-AB8762A7BC6A}"/>
    <cellStyle name="SAPBEXHLevel1X 2 4 2" xfId="4219" xr:uid="{EDDE5062-6C15-42B9-B5CE-E96F8A9505E0}"/>
    <cellStyle name="SAPBEXHLevel1X 2 5" xfId="3834" xr:uid="{294E6A77-0425-410C-9907-794F42C9D273}"/>
    <cellStyle name="SAPBEXHLevel1X 3" xfId="3085" xr:uid="{F2A2836D-3FDF-4231-8FF4-02AB8ECB1EBB}"/>
    <cellStyle name="SAPBEXHLevel1X 3 2" xfId="5459" xr:uid="{11497F1E-4B8C-4C24-8875-966C5931BC66}"/>
    <cellStyle name="SAPBEXHLevel1X 4" xfId="3264" xr:uid="{63D45063-636F-489B-8378-B22C4F0AD139}"/>
    <cellStyle name="SAPBEXHLevel1X 4 2" xfId="5638" xr:uid="{A795B233-653E-4C8E-97E1-17B9B016D817}"/>
    <cellStyle name="SAPBEXHLevel1X 5" xfId="1682" xr:uid="{7AA82E9D-E1D7-4196-894E-EC1CD17581F1}"/>
    <cellStyle name="SAPBEXHLevel1X 5 2" xfId="4218" xr:uid="{BEE03B4C-2FC9-42A2-BBFE-5AC636401789}"/>
    <cellStyle name="SAPBEXHLevel1X 6" xfId="3335" xr:uid="{31D5C3FD-8E9E-4C29-BAAE-3A20BBE22289}"/>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2 2" xfId="5563" xr:uid="{E88E69B4-FF6E-41D8-B889-A040036B4841}"/>
    <cellStyle name="SAPBEXHLevel2 2 2 3" xfId="3266" xr:uid="{3EF86291-25F5-4611-B950-C58FB3E48C6B}"/>
    <cellStyle name="SAPBEXHLevel2 2 2 3 2" xfId="5640" xr:uid="{B2316DDC-4572-4D63-A615-7C32308608E1}"/>
    <cellStyle name="SAPBEXHLevel2 2 2 4" xfId="4222" xr:uid="{5E128F58-B43F-405F-AF9B-25445ADE457F}"/>
    <cellStyle name="SAPBEXHLevel2 2 3" xfId="1687" xr:uid="{F3A6212E-BBDC-41EB-AE04-C8C0D8FB7DD3}"/>
    <cellStyle name="SAPBEXHLevel2 2 3 2" xfId="3152" xr:uid="{7BC8A612-3A88-44FD-BD08-93C1BB2DEDD8}"/>
    <cellStyle name="SAPBEXHLevel2 2 3 2 2" xfId="5526" xr:uid="{CC58880A-7E69-4CE8-B8DF-ECA3DD796FF0}"/>
    <cellStyle name="SAPBEXHLevel2 2 3 3" xfId="3077" xr:uid="{1C8FA20C-B05D-4A71-9B83-0926A2EB85AF}"/>
    <cellStyle name="SAPBEXHLevel2 2 3 3 2" xfId="5451" xr:uid="{26D2DD2A-35B5-426D-A957-E3D7B259203A}"/>
    <cellStyle name="SAPBEXHLevel2 2 3 4" xfId="4223" xr:uid="{3520AE4C-F75E-4B47-8A17-AEAE975D1F34}"/>
    <cellStyle name="SAPBEXHLevel2 2 4" xfId="3094" xr:uid="{2187196E-C82C-47D1-84EA-3DF46AABC06A}"/>
    <cellStyle name="SAPBEXHLevel2 2 4 2" xfId="5468" xr:uid="{9CA45251-E5ED-47E0-923A-EFAFF46F275D}"/>
    <cellStyle name="SAPBEXHLevel2 2 5" xfId="3197" xr:uid="{12B87643-93D9-4BF2-8E1C-D6B4D2EAD30F}"/>
    <cellStyle name="SAPBEXHLevel2 2 5 2" xfId="5571" xr:uid="{DD81B9A2-E5BB-4969-B408-3F39E5E837D3}"/>
    <cellStyle name="SAPBEXHLevel2 2 6" xfId="1685" xr:uid="{2D80E795-DAC9-46F1-B95C-C10036BC1501}"/>
    <cellStyle name="SAPBEXHLevel2 2 6 2" xfId="4221" xr:uid="{864D8988-4A80-4744-925F-84A66B7DB089}"/>
    <cellStyle name="SAPBEXHLevel2 2 7" xfId="3835" xr:uid="{B1D10EC1-6262-4B66-BCF4-60A8275FB038}"/>
    <cellStyle name="SAPBEXHLevel2 3" xfId="3258" xr:uid="{CD214021-66A2-4D77-9F80-FA952FB153DD}"/>
    <cellStyle name="SAPBEXHLevel2 3 2" xfId="5632" xr:uid="{D7C5CDA5-0410-4CFC-813C-D37681F2C024}"/>
    <cellStyle name="SAPBEXHLevel2 4" xfId="3214" xr:uid="{4461AEE9-A85A-443E-BE2A-40891D7BE9F5}"/>
    <cellStyle name="SAPBEXHLevel2 4 2" xfId="5588" xr:uid="{B9348CC0-2B83-4E8D-9CBF-6FA39A089771}"/>
    <cellStyle name="SAPBEXHLevel2 5" xfId="1684" xr:uid="{2D1B3528-73AD-4F5B-98F1-AAD6A1F325EB}"/>
    <cellStyle name="SAPBEXHLevel2 5 2" xfId="4220" xr:uid="{7C4C8ED6-4497-4B77-A1DB-F86071B08271}"/>
    <cellStyle name="SAPBEXHLevel2 6" xfId="3336" xr:uid="{5A6C6A95-81A8-4D56-BF1B-C1457391BA84}"/>
    <cellStyle name="SAPBEXHLevel2X" xfId="97" xr:uid="{00000000-0005-0000-0000-00004B030000}"/>
    <cellStyle name="SAPBEXHLevel2X 2" xfId="938" xr:uid="{A67F28C8-8B88-4CF6-963E-478BFA3751FA}"/>
    <cellStyle name="SAPBEXHLevel2X 2 2" xfId="3231" xr:uid="{C1CA2D7D-33F5-4B52-B31C-3511AAFC3784}"/>
    <cellStyle name="SAPBEXHLevel2X 2 2 2" xfId="5605" xr:uid="{21CD9EE5-8364-4A53-B3F3-D89BF0D4E24F}"/>
    <cellStyle name="SAPBEXHLevel2X 2 3" xfId="3161" xr:uid="{47EB5110-FB10-4FB0-B4FB-DAD9B141F86B}"/>
    <cellStyle name="SAPBEXHLevel2X 2 3 2" xfId="5535" xr:uid="{1A1DDD78-426F-4A66-8A86-6CAA53908265}"/>
    <cellStyle name="SAPBEXHLevel2X 2 4" xfId="1689" xr:uid="{BDAA82C9-BCFF-408F-9D6B-51E125A3265C}"/>
    <cellStyle name="SAPBEXHLevel2X 2 4 2" xfId="4225" xr:uid="{3EEE0C88-04D1-48C2-AB70-9A4DBE2B576F}"/>
    <cellStyle name="SAPBEXHLevel2X 2 5" xfId="3836" xr:uid="{536E0248-1CD0-4C82-AA71-79C9F5BC9524}"/>
    <cellStyle name="SAPBEXHLevel2X 3" xfId="3139" xr:uid="{BBF79FAF-D7FA-4F3D-AFB8-A253EAB0BBEE}"/>
    <cellStyle name="SAPBEXHLevel2X 3 2" xfId="5513" xr:uid="{7AE0BC09-4275-42CE-9A2C-69CB9FF055DC}"/>
    <cellStyle name="SAPBEXHLevel2X 4" xfId="3167" xr:uid="{85558F91-DA11-4406-A70E-BFF59C320976}"/>
    <cellStyle name="SAPBEXHLevel2X 4 2" xfId="5541" xr:uid="{3903588A-50A4-4DF7-8BD5-D0E427AFC13A}"/>
    <cellStyle name="SAPBEXHLevel2X 5" xfId="1688" xr:uid="{F72307C4-13D2-4B84-8999-A0614543A787}"/>
    <cellStyle name="SAPBEXHLevel2X 5 2" xfId="4224" xr:uid="{10A0FB65-B1F9-4E42-B07C-D2DFFAF910F3}"/>
    <cellStyle name="SAPBEXHLevel2X 6" xfId="3337" xr:uid="{E399A763-B999-45DC-B044-7BA0F070C7AE}"/>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2 2" xfId="5427" xr:uid="{93879C2C-F563-468A-8A9C-BC3E5484DED3}"/>
    <cellStyle name="SAPBEXHLevel3 2 2 3" xfId="3090" xr:uid="{7835B5FF-CBBC-471F-841D-A7E421953FC2}"/>
    <cellStyle name="SAPBEXHLevel3 2 2 3 2" xfId="5464" xr:uid="{851E7CB1-8D52-4AA5-8A2D-83DE5397B6D0}"/>
    <cellStyle name="SAPBEXHLevel3 2 2 4" xfId="4228" xr:uid="{73056ECB-676D-4AEB-A9AE-35D66F75E7DA}"/>
    <cellStyle name="SAPBEXHLevel3 2 3" xfId="1693" xr:uid="{EEC42B18-8434-4A9C-8573-47B77FB10DB1}"/>
    <cellStyle name="SAPBEXHLevel3 2 3 2" xfId="3147" xr:uid="{79AA4573-92F1-4125-AA13-F58437461D4A}"/>
    <cellStyle name="SAPBEXHLevel3 2 3 2 2" xfId="5521" xr:uid="{D22F378C-6803-49C8-A65C-8C589D64BDB1}"/>
    <cellStyle name="SAPBEXHLevel3 2 3 3" xfId="3215" xr:uid="{20608DAD-DC2E-468B-8444-938DDE98C1C1}"/>
    <cellStyle name="SAPBEXHLevel3 2 3 3 2" xfId="5589" xr:uid="{4182BC22-81C1-4912-86D0-C9AB0990D2E6}"/>
    <cellStyle name="SAPBEXHLevel3 2 3 4" xfId="4229" xr:uid="{9BE93428-DA7B-44DA-8326-9D51E208A732}"/>
    <cellStyle name="SAPBEXHLevel3 2 4" xfId="3238" xr:uid="{F81D12E0-72B9-4A7C-A99E-4C90C4A6772A}"/>
    <cellStyle name="SAPBEXHLevel3 2 4 2" xfId="5612" xr:uid="{42A12FBD-EA5F-4104-8BCB-C9494ADE8ED5}"/>
    <cellStyle name="SAPBEXHLevel3 2 5" xfId="3248" xr:uid="{C7E5924D-95F4-4D23-B446-41703BF07A32}"/>
    <cellStyle name="SAPBEXHLevel3 2 5 2" xfId="5622" xr:uid="{51442A61-18FB-4A3E-AAE5-57BEA19ADC2E}"/>
    <cellStyle name="SAPBEXHLevel3 2 6" xfId="1691" xr:uid="{38D6B4A2-C277-49D6-A7DD-DF7D6215FF46}"/>
    <cellStyle name="SAPBEXHLevel3 2 6 2" xfId="4227" xr:uid="{7F763750-FAE2-4BBA-BD0C-A2E9785C09D9}"/>
    <cellStyle name="SAPBEXHLevel3 2 7" xfId="3837" xr:uid="{07C7C0F2-0DEE-4008-A72F-A12B43223F81}"/>
    <cellStyle name="SAPBEXHLevel3 3" xfId="3050" xr:uid="{194FD71D-4B6A-45DD-B082-5E5267BCB116}"/>
    <cellStyle name="SAPBEXHLevel3 3 2" xfId="5424" xr:uid="{8CA14961-AB86-4EF5-BCA4-2D0AC3043194}"/>
    <cellStyle name="SAPBEXHLevel3 4" xfId="3252" xr:uid="{3002B438-73DC-41D3-ABBB-FA217E67C2B0}"/>
    <cellStyle name="SAPBEXHLevel3 4 2" xfId="5626" xr:uid="{12BFA2FC-A92D-4A71-9E1D-57BAC462DB0A}"/>
    <cellStyle name="SAPBEXHLevel3 5" xfId="1690" xr:uid="{8B81F412-77FC-4173-9B40-8D37A3A8E7E9}"/>
    <cellStyle name="SAPBEXHLevel3 5 2" xfId="4226" xr:uid="{EF6B7FAF-9FF3-4BD9-A1CD-D459ADE22901}"/>
    <cellStyle name="SAPBEXHLevel3 6" xfId="3338" xr:uid="{3F68943A-8C04-43FC-82FE-EBBB74874617}"/>
    <cellStyle name="SAPBEXHLevel3X" xfId="99" xr:uid="{00000000-0005-0000-0000-00004D030000}"/>
    <cellStyle name="SAPBEXHLevel3X 2" xfId="940" xr:uid="{16EE4387-87B1-4194-BBF1-16E8DA5257CE}"/>
    <cellStyle name="SAPBEXHLevel3X 2 2" xfId="3137" xr:uid="{062B4B9E-5E32-4305-9261-4C98C71F730F}"/>
    <cellStyle name="SAPBEXHLevel3X 2 2 2" xfId="5511" xr:uid="{36F4BC2A-99F3-4C12-B398-8794E5ED9AB8}"/>
    <cellStyle name="SAPBEXHLevel3X 2 3" xfId="3062" xr:uid="{B74864E9-5A7E-4129-9466-C1FC17D3F159}"/>
    <cellStyle name="SAPBEXHLevel3X 2 3 2" xfId="5436" xr:uid="{86D097EE-7D68-4033-8FD7-B81A03480E59}"/>
    <cellStyle name="SAPBEXHLevel3X 2 4" xfId="1695" xr:uid="{97CC3850-8912-44A7-AECC-9B7D5CBE139B}"/>
    <cellStyle name="SAPBEXHLevel3X 2 4 2" xfId="4231" xr:uid="{5D101530-DF46-4C6E-A20D-A34DB3159139}"/>
    <cellStyle name="SAPBEXHLevel3X 2 5" xfId="3838" xr:uid="{03033A44-CE05-43B4-8820-32A49FF15A53}"/>
    <cellStyle name="SAPBEXHLevel3X 3" xfId="3111" xr:uid="{0BA86707-23F3-4FF7-B9DD-0B363DA9B6C7}"/>
    <cellStyle name="SAPBEXHLevel3X 3 2" xfId="5485" xr:uid="{4021B919-FFF4-4F2C-A1F1-C027A61EC350}"/>
    <cellStyle name="SAPBEXHLevel3X 4" xfId="3150" xr:uid="{E96530CB-15B7-4064-A42B-A5CC62FB4C40}"/>
    <cellStyle name="SAPBEXHLevel3X 4 2" xfId="5524" xr:uid="{A691ACCD-A71D-4A43-B6D2-40725994FEBA}"/>
    <cellStyle name="SAPBEXHLevel3X 5" xfId="1694" xr:uid="{59CD1ED2-1588-4CDF-B9BC-DE2D6DB8967E}"/>
    <cellStyle name="SAPBEXHLevel3X 5 2" xfId="4230" xr:uid="{28BFA658-AD8E-4870-BF1C-9275F7F801FC}"/>
    <cellStyle name="SAPBEXHLevel3X 6" xfId="3339" xr:uid="{D86B91FE-C9AE-479B-BF00-715290AB56AA}"/>
    <cellStyle name="SAPBEXinputData" xfId="100" xr:uid="{00000000-0005-0000-0000-00004E030000}"/>
    <cellStyle name="SAPBEXinputData 10" xfId="2567" xr:uid="{AAF63542-08EA-4DE3-B8EC-4EEC7ECD119E}"/>
    <cellStyle name="SAPBEXinputData 10 2" xfId="5002" xr:uid="{40BBF454-2344-42D9-8BDD-C08AFCFE26F5}"/>
    <cellStyle name="SAPBEXinputData 11" xfId="1696" xr:uid="{1A579113-A5AE-4617-B77A-69AB844094E5}"/>
    <cellStyle name="SAPBEXinputData 11 2" xfId="4232" xr:uid="{3922B5AA-7000-45D0-A53E-C0274740EBF3}"/>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2 2 2" xfId="5372" xr:uid="{DDCEC28C-1640-40A5-A37C-36B58BBAE962}"/>
    <cellStyle name="SAPBEXinputData 3 2 2 2 2 2 3" xfId="4616" xr:uid="{C0CAE623-7AB2-4916-8DAE-6397F20999A4}"/>
    <cellStyle name="SAPBEXinputData 3 2 2 2 2 3" xfId="2572" xr:uid="{DDF15937-116F-432B-9703-DA44E538CD8C}"/>
    <cellStyle name="SAPBEXinputData 3 2 2 2 2 3 2" xfId="5007" xr:uid="{FD562959-C2F8-40A4-A6F8-1C87B4175A9E}"/>
    <cellStyle name="SAPBEXinputData 3 2 2 2 2 4" xfId="4237" xr:uid="{277F3E23-D12E-4FA7-9EA7-9A0C20DD5BE4}"/>
    <cellStyle name="SAPBEXinputData 3 2 2 2 3" xfId="1929" xr:uid="{49B078E0-2BC9-4B68-AA2D-1BF2B55605CA}"/>
    <cellStyle name="SAPBEXinputData 3 2 2 2 3 2" xfId="2767" xr:uid="{96195523-41E3-4534-8D1C-3B8A9D18A796}"/>
    <cellStyle name="SAPBEXinputData 3 2 2 2 3 2 2" xfId="5202" xr:uid="{45D6AB71-934F-441F-8E21-3CC6BC25ECD9}"/>
    <cellStyle name="SAPBEXinputData 3 2 2 2 3 3" xfId="4446" xr:uid="{5014F3C8-4235-4236-88C1-5BCE6198C13E}"/>
    <cellStyle name="SAPBEXinputData 3 2 2 2 4" xfId="2571" xr:uid="{4F49B3A6-CE7E-4BB1-84C6-F1422AD08AD9}"/>
    <cellStyle name="SAPBEXinputData 3 2 2 2 4 2" xfId="5006" xr:uid="{6A8EBEBB-3E4D-46EB-A061-C8E5F2EB75AC}"/>
    <cellStyle name="SAPBEXinputData 3 2 2 2 5" xfId="4236" xr:uid="{4BBABC54-B07C-4B9F-8B98-4AD95E165BAD}"/>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2 2 2" xfId="5373" xr:uid="{B0404280-37D3-4F23-B2C8-04BE2818D5B4}"/>
    <cellStyle name="SAPBEXinputData 3 2 2 3 2 2 3" xfId="4617" xr:uid="{A6BEF6DC-749A-4D71-9186-5B9BB8BBEB2C}"/>
    <cellStyle name="SAPBEXinputData 3 2 2 3 2 3" xfId="2574" xr:uid="{E089D064-D85F-48D3-AD62-2DDD538D7EAD}"/>
    <cellStyle name="SAPBEXinputData 3 2 2 3 2 3 2" xfId="5009" xr:uid="{30EF3464-27AF-4BC0-8AB0-298504C27121}"/>
    <cellStyle name="SAPBEXinputData 3 2 2 3 2 4" xfId="4239" xr:uid="{1CD1E717-D5C2-475C-9548-355A0DA68F52}"/>
    <cellStyle name="SAPBEXinputData 3 2 2 3 3" xfId="1930" xr:uid="{E589F60E-E408-40EF-9D5D-2D815D389A79}"/>
    <cellStyle name="SAPBEXinputData 3 2 2 3 3 2" xfId="2768" xr:uid="{71A7BD67-A496-4D25-8D8F-8DD2DE6537D9}"/>
    <cellStyle name="SAPBEXinputData 3 2 2 3 3 2 2" xfId="5203" xr:uid="{CAF18B6C-772A-4814-9127-09308595FD0E}"/>
    <cellStyle name="SAPBEXinputData 3 2 2 3 3 3" xfId="4447" xr:uid="{E289F265-8249-4A53-B1FB-91725068B0C3}"/>
    <cellStyle name="SAPBEXinputData 3 2 2 3 4" xfId="2573" xr:uid="{EA3EEF08-16BD-4672-8273-2462D1EC20A8}"/>
    <cellStyle name="SAPBEXinputData 3 2 2 3 4 2" xfId="5008" xr:uid="{835FEAB2-C8CD-487A-9EBE-5432BA231791}"/>
    <cellStyle name="SAPBEXinputData 3 2 2 3 5" xfId="4238" xr:uid="{5FF0F830-6FBE-4442-B60D-B8B18299EFF3}"/>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2 2 2" xfId="5371" xr:uid="{3BBED34C-48DD-419B-8884-33839BCE7F34}"/>
    <cellStyle name="SAPBEXinputData 3 2 2 4 2 3" xfId="4615" xr:uid="{C2D32AE8-8BDB-405E-9E58-6301724E09AC}"/>
    <cellStyle name="SAPBEXinputData 3 2 2 4 3" xfId="2575" xr:uid="{99635248-C55F-4E76-A7E0-4B72064230DB}"/>
    <cellStyle name="SAPBEXinputData 3 2 2 4 3 2" xfId="5010" xr:uid="{92230EFB-8ED3-4940-8F2F-C6BFE3AEB6E7}"/>
    <cellStyle name="SAPBEXinputData 3 2 2 4 4" xfId="4240" xr:uid="{F0E69322-ABA2-48BE-BBBA-2ABF2F5AE142}"/>
    <cellStyle name="SAPBEXinputData 3 2 2 5" xfId="1928" xr:uid="{09E99A3D-B8EA-4B58-B0AC-44996109097B}"/>
    <cellStyle name="SAPBEXinputData 3 2 2 5 2" xfId="2766" xr:uid="{47821799-FA36-45BE-AC38-9F0F527D012D}"/>
    <cellStyle name="SAPBEXinputData 3 2 2 5 2 2" xfId="5201" xr:uid="{95B6E774-D7BC-450E-8FD1-C8AE0BCBCAA4}"/>
    <cellStyle name="SAPBEXinputData 3 2 2 5 3" xfId="4445" xr:uid="{5AACCB15-39F8-46E0-A61A-3C698746D268}"/>
    <cellStyle name="SAPBEXinputData 3 2 2 6" xfId="2570" xr:uid="{0A2A4471-46F4-443C-B9E9-695CB7C0620E}"/>
    <cellStyle name="SAPBEXinputData 3 2 2 6 2" xfId="5005" xr:uid="{0A3FE3F9-1DA1-444F-AF10-E57F35D4718A}"/>
    <cellStyle name="SAPBEXinputData 3 2 2 7" xfId="4235" xr:uid="{DAEE97A7-95D4-4661-83C9-BCEA2E4E18A2}"/>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2 2 2" xfId="5374" xr:uid="{8F5ED226-3E97-4137-8AEC-9EE5760573A8}"/>
    <cellStyle name="SAPBEXinputData 3 2 3 2 2 3" xfId="4618" xr:uid="{742A945F-3681-44AB-9E0B-358790743963}"/>
    <cellStyle name="SAPBEXinputData 3 2 3 2 3" xfId="2577" xr:uid="{FCC10257-E003-4A50-8083-40E0B47C3C8C}"/>
    <cellStyle name="SAPBEXinputData 3 2 3 2 3 2" xfId="5012" xr:uid="{BC2FE3D1-8385-481A-86DC-2E9E101B3B26}"/>
    <cellStyle name="SAPBEXinputData 3 2 3 2 4" xfId="4242" xr:uid="{66CB0AE3-05C5-4A4B-9BF1-072609AE29FA}"/>
    <cellStyle name="SAPBEXinputData 3 2 3 3" xfId="1931" xr:uid="{39C9F305-08C7-4C07-830C-59EBC22A23AC}"/>
    <cellStyle name="SAPBEXinputData 3 2 3 3 2" xfId="2769" xr:uid="{77B45266-43A8-46A3-910E-3DA7B6CA3299}"/>
    <cellStyle name="SAPBEXinputData 3 2 3 3 2 2" xfId="5204" xr:uid="{35E3867F-BA9E-434E-8528-6F003398E209}"/>
    <cellStyle name="SAPBEXinputData 3 2 3 3 3" xfId="4448" xr:uid="{0525F4D4-60FE-4C76-BBD1-69E662231B57}"/>
    <cellStyle name="SAPBEXinputData 3 2 3 4" xfId="2576" xr:uid="{810C84F1-F424-46AE-ACB8-B5F0DEE1CADC}"/>
    <cellStyle name="SAPBEXinputData 3 2 3 4 2" xfId="5011" xr:uid="{B71B0A76-4AFF-4CCC-90C2-63CA134DE916}"/>
    <cellStyle name="SAPBEXinputData 3 2 3 5" xfId="4241" xr:uid="{18BD5A5F-9317-4F6A-8890-94E0F1611864}"/>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2 2 2" xfId="5375" xr:uid="{9DE719EC-53A0-4FF9-B27A-FC3CE6AB3593}"/>
    <cellStyle name="SAPBEXinputData 3 2 4 2 2 3" xfId="4619" xr:uid="{67CC101B-8DD3-455B-A949-F67012BB6D15}"/>
    <cellStyle name="SAPBEXinputData 3 2 4 2 3" xfId="2579" xr:uid="{3BEF5AEF-669D-4116-B83F-8AA92404E331}"/>
    <cellStyle name="SAPBEXinputData 3 2 4 2 3 2" xfId="5014" xr:uid="{558987F3-8B21-49F3-9064-106349F1B068}"/>
    <cellStyle name="SAPBEXinputData 3 2 4 2 4" xfId="4244" xr:uid="{191D661A-AB83-4B3B-9DC8-E8B387D29018}"/>
    <cellStyle name="SAPBEXinputData 3 2 4 3" xfId="1932" xr:uid="{33DDD796-3835-4DA9-995F-E1B96575DB61}"/>
    <cellStyle name="SAPBEXinputData 3 2 4 3 2" xfId="2770" xr:uid="{B4F57D7E-B15A-4C22-9C6F-26301AD4503C}"/>
    <cellStyle name="SAPBEXinputData 3 2 4 3 2 2" xfId="5205" xr:uid="{B43F42DA-2899-49FB-A19A-FE100259EDDF}"/>
    <cellStyle name="SAPBEXinputData 3 2 4 3 3" xfId="4449" xr:uid="{3A5728AB-B5F2-4F8E-A106-41B36DA71F3F}"/>
    <cellStyle name="SAPBEXinputData 3 2 4 4" xfId="2578" xr:uid="{A8D59F88-9AB3-4A96-A2EF-D66360185B84}"/>
    <cellStyle name="SAPBEXinputData 3 2 4 4 2" xfId="5013" xr:uid="{29666E23-3035-4B57-A296-EDE2D0DCC1EC}"/>
    <cellStyle name="SAPBEXinputData 3 2 4 5" xfId="4243" xr:uid="{C30B0778-9A29-4E48-A94B-59491973F739}"/>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2 2 2" xfId="5370" xr:uid="{49B6AD80-CA01-4D4B-BC28-325395101598}"/>
    <cellStyle name="SAPBEXinputData 3 2 5 2 3" xfId="4614" xr:uid="{F3D9255A-0898-4EC6-A276-F8542C3AA563}"/>
    <cellStyle name="SAPBEXinputData 3 2 5 3" xfId="2580" xr:uid="{EC90F5FD-D4F5-4F91-B837-532FAEECA4CB}"/>
    <cellStyle name="SAPBEXinputData 3 2 5 3 2" xfId="5015" xr:uid="{D7158EA9-BBFD-4ED0-9AB4-B331E64F3D29}"/>
    <cellStyle name="SAPBEXinputData 3 2 5 4" xfId="4245" xr:uid="{56424AA1-2A39-4898-BC17-920ECF0DE06F}"/>
    <cellStyle name="SAPBEXinputData 3 2 6" xfId="1927" xr:uid="{2DCAAEF4-3A18-4631-A305-AF391C47E61D}"/>
    <cellStyle name="SAPBEXinputData 3 2 6 2" xfId="2765" xr:uid="{0D56C213-040A-48FF-B6D8-A286984A10AA}"/>
    <cellStyle name="SAPBEXinputData 3 2 6 2 2" xfId="5200" xr:uid="{F22678BA-2B47-4A10-93CA-6F85AA44929F}"/>
    <cellStyle name="SAPBEXinputData 3 2 6 3" xfId="4444" xr:uid="{586B3576-219B-499E-951B-A1A9A16C7C4F}"/>
    <cellStyle name="SAPBEXinputData 3 2 7" xfId="2569" xr:uid="{3C9E0BEB-F2FC-4601-9BD9-9976393D77A1}"/>
    <cellStyle name="SAPBEXinputData 3 2 7 2" xfId="5004" xr:uid="{D324CAF6-7D73-4F48-A1C4-BBCC508D2A2D}"/>
    <cellStyle name="SAPBEXinputData 3 2 8" xfId="4234" xr:uid="{AD23C2D4-DF61-467D-A06F-47EA196AE0E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2 2 2" xfId="5377" xr:uid="{BAFA45DD-5923-496F-8CB3-5505177BB969}"/>
    <cellStyle name="SAPBEXinputData 3 3 2 2 2 3" xfId="4621" xr:uid="{F9D30D69-B85D-4EEA-B5B6-E0521D81FE57}"/>
    <cellStyle name="SAPBEXinputData 3 3 2 2 3" xfId="2583" xr:uid="{2FB5F220-EEFB-44FE-98CB-3131F12155B0}"/>
    <cellStyle name="SAPBEXinputData 3 3 2 2 3 2" xfId="5018" xr:uid="{8F5334EF-A364-4879-B512-91B9B4690F50}"/>
    <cellStyle name="SAPBEXinputData 3 3 2 2 4" xfId="4248" xr:uid="{6F812BE6-06CD-44F5-A1EF-6F5520AB757C}"/>
    <cellStyle name="SAPBEXinputData 3 3 2 3" xfId="1934" xr:uid="{1ECFBDC3-44E8-4C5D-A86F-CE39CFCF9D1D}"/>
    <cellStyle name="SAPBEXinputData 3 3 2 3 2" xfId="2772" xr:uid="{F5716692-C209-413B-B8E9-2B44814AF0FD}"/>
    <cellStyle name="SAPBEXinputData 3 3 2 3 2 2" xfId="5207" xr:uid="{22B9B60C-420A-405A-8012-1FF82D90E104}"/>
    <cellStyle name="SAPBEXinputData 3 3 2 3 3" xfId="4451" xr:uid="{B0DAC841-BDC1-4C39-B2C2-2E5B85234BB0}"/>
    <cellStyle name="SAPBEXinputData 3 3 2 4" xfId="2582" xr:uid="{6B97D162-B437-46BE-A40A-228959DE96BA}"/>
    <cellStyle name="SAPBEXinputData 3 3 2 4 2" xfId="5017" xr:uid="{B4EE16FA-5B18-466D-B74F-2E3A564D0EF9}"/>
    <cellStyle name="SAPBEXinputData 3 3 2 5" xfId="4247" xr:uid="{2C137BAA-D27D-40D8-A92B-3A1EF393B717}"/>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2 2 2" xfId="5378" xr:uid="{65EDA595-DA97-4DE3-86AC-36228A0416EE}"/>
    <cellStyle name="SAPBEXinputData 3 3 3 2 2 3" xfId="4622" xr:uid="{37DEDC46-02C9-46FC-8A86-CA2F738FB79D}"/>
    <cellStyle name="SAPBEXinputData 3 3 3 2 3" xfId="2585" xr:uid="{79481D60-6783-4AB2-877E-B0985AE06EDC}"/>
    <cellStyle name="SAPBEXinputData 3 3 3 2 3 2" xfId="5020" xr:uid="{6D45E1CF-8888-43FB-8793-406AFBBE6D22}"/>
    <cellStyle name="SAPBEXinputData 3 3 3 2 4" xfId="4250" xr:uid="{B8195268-A1AA-41E2-8AFE-6CFD6772EB91}"/>
    <cellStyle name="SAPBEXinputData 3 3 3 3" xfId="1935" xr:uid="{27ADB23A-A418-4A14-AC22-A4E8A8C4F24C}"/>
    <cellStyle name="SAPBEXinputData 3 3 3 3 2" xfId="2773" xr:uid="{E22F1A86-4D5C-4D34-93B2-953F68ED9945}"/>
    <cellStyle name="SAPBEXinputData 3 3 3 3 2 2" xfId="5208" xr:uid="{990B18E2-238C-45FD-B92A-8E52D5DDC8F3}"/>
    <cellStyle name="SAPBEXinputData 3 3 3 3 3" xfId="4452" xr:uid="{9389F7A5-FD50-412C-A235-6D656FEF72FB}"/>
    <cellStyle name="SAPBEXinputData 3 3 3 4" xfId="2584" xr:uid="{A9A9F4E4-E5C1-4FFF-A799-76F15328A3F7}"/>
    <cellStyle name="SAPBEXinputData 3 3 3 4 2" xfId="5019" xr:uid="{0C85DBA7-7A19-487C-A403-E74C06D9434B}"/>
    <cellStyle name="SAPBEXinputData 3 3 3 5" xfId="4249" xr:uid="{B47C5001-576A-4B60-BAEF-3E57E7B83CE5}"/>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2 2 2" xfId="5376" xr:uid="{CD5AABA8-A491-4EB0-934B-6654CBAC758E}"/>
    <cellStyle name="SAPBEXinputData 3 3 4 2 3" xfId="4620" xr:uid="{33F07994-5014-4C5A-AF55-ABACB651182D}"/>
    <cellStyle name="SAPBEXinputData 3 3 4 3" xfId="2586" xr:uid="{0AB524D2-C6E2-435F-8C75-99AC390E6EEA}"/>
    <cellStyle name="SAPBEXinputData 3 3 4 3 2" xfId="5021" xr:uid="{C9119ED5-20D8-4A66-B065-2E8F5F87244B}"/>
    <cellStyle name="SAPBEXinputData 3 3 4 4" xfId="4251" xr:uid="{81C586F6-62E9-4A61-9A4B-E447EB4FDA90}"/>
    <cellStyle name="SAPBEXinputData 3 3 5" xfId="1933" xr:uid="{82E14327-FC2E-42F1-A990-3EA35D112C92}"/>
    <cellStyle name="SAPBEXinputData 3 3 5 2" xfId="2771" xr:uid="{5BF0BF84-C591-4C44-AB95-50AE4CE8BA6D}"/>
    <cellStyle name="SAPBEXinputData 3 3 5 2 2" xfId="5206" xr:uid="{298C2A0F-DEE3-4662-A741-6F00991DB950}"/>
    <cellStyle name="SAPBEXinputData 3 3 5 3" xfId="4450" xr:uid="{339EA93A-475F-4BBB-9C15-261CA323E7DA}"/>
    <cellStyle name="SAPBEXinputData 3 3 6" xfId="2581" xr:uid="{762A5257-34DD-4611-B4D5-CB2B981C6F48}"/>
    <cellStyle name="SAPBEXinputData 3 3 6 2" xfId="5016" xr:uid="{6CDF7C48-ED0B-4D6A-8EF2-9C357D48C6E9}"/>
    <cellStyle name="SAPBEXinputData 3 3 7" xfId="4246" xr:uid="{46C5EE81-3784-4312-9B2D-A78D3E92F8DB}"/>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2 2 2" xfId="5379" xr:uid="{85627A21-6D5A-440D-94FE-11CE132F4A12}"/>
    <cellStyle name="SAPBEXinputData 3 4 2 2 3" xfId="4623" xr:uid="{D2ED13E9-13E2-4399-82E9-9B1FCFBB7CFC}"/>
    <cellStyle name="SAPBEXinputData 3 4 2 3" xfId="2588" xr:uid="{E42E7BEE-5108-493C-9706-BBC294382E90}"/>
    <cellStyle name="SAPBEXinputData 3 4 2 3 2" xfId="5023" xr:uid="{AF21F321-9E16-41E0-968F-5CD90BEC3E8A}"/>
    <cellStyle name="SAPBEXinputData 3 4 2 4" xfId="4253" xr:uid="{A2A23581-F397-4E50-9529-40DC3DCA039D}"/>
    <cellStyle name="SAPBEXinputData 3 4 3" xfId="1936" xr:uid="{F1C7D784-5A72-41BB-8BE1-52DF61EE07FA}"/>
    <cellStyle name="SAPBEXinputData 3 4 3 2" xfId="2774" xr:uid="{701F95A4-0EDA-41F0-B6E2-8FBB9351C097}"/>
    <cellStyle name="SAPBEXinputData 3 4 3 2 2" xfId="5209" xr:uid="{AEE03905-7F0E-461B-B992-E0FBA6D101D8}"/>
    <cellStyle name="SAPBEXinputData 3 4 3 3" xfId="4453" xr:uid="{85C6664D-AA62-46B0-B731-F815F59D857E}"/>
    <cellStyle name="SAPBEXinputData 3 4 4" xfId="2587" xr:uid="{E56333AD-37C3-426D-8AB9-AD73E2B0DAE9}"/>
    <cellStyle name="SAPBEXinputData 3 4 4 2" xfId="5022" xr:uid="{8EB0932C-C033-4E2B-A753-803EC4876EDC}"/>
    <cellStyle name="SAPBEXinputData 3 4 5" xfId="4252" xr:uid="{26DDA670-9357-447E-9137-89B91F7E30E3}"/>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2 2 2" xfId="5380" xr:uid="{85C2270B-3E6B-448C-AE79-91032951C3DD}"/>
    <cellStyle name="SAPBEXinputData 3 5 2 2 3" xfId="4624" xr:uid="{F6422E0D-5714-4885-AB46-6625534ECA44}"/>
    <cellStyle name="SAPBEXinputData 3 5 2 3" xfId="2590" xr:uid="{4D66178D-F3EC-45C6-93BD-D35A7A050298}"/>
    <cellStyle name="SAPBEXinputData 3 5 2 3 2" xfId="5025" xr:uid="{146E2E40-16FD-4582-9934-AB09A0D5A769}"/>
    <cellStyle name="SAPBEXinputData 3 5 2 4" xfId="4255" xr:uid="{65B9FAFF-6B30-458E-B065-79B51421F138}"/>
    <cellStyle name="SAPBEXinputData 3 5 3" xfId="1937" xr:uid="{8478C87B-EA67-47D7-8E48-4F864B5B9C06}"/>
    <cellStyle name="SAPBEXinputData 3 5 3 2" xfId="2775" xr:uid="{43B3F61D-8489-4CFF-A08C-3C832FF9D56B}"/>
    <cellStyle name="SAPBEXinputData 3 5 3 2 2" xfId="5210" xr:uid="{2920D18B-4531-49DA-8759-C47BC98B832B}"/>
    <cellStyle name="SAPBEXinputData 3 5 3 3" xfId="4454" xr:uid="{36A81AB0-CD38-4116-B97A-3CA92D0A5B72}"/>
    <cellStyle name="SAPBEXinputData 3 5 4" xfId="2589" xr:uid="{81B53D3E-A5D6-4ADE-9D84-6C400B8B5687}"/>
    <cellStyle name="SAPBEXinputData 3 5 4 2" xfId="5024" xr:uid="{77701A65-87EC-4215-A9F2-C2EDB6E55883}"/>
    <cellStyle name="SAPBEXinputData 3 5 5" xfId="4254" xr:uid="{B700A44E-76B2-4C79-8953-9F63333C1CF6}"/>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2 2 2" xfId="5369" xr:uid="{5C78FA22-6476-4EF1-8E41-25EB80EFD0C3}"/>
    <cellStyle name="SAPBEXinputData 3 6 2 3" xfId="4613" xr:uid="{199D51ED-7836-46FA-A070-BDDE3471703E}"/>
    <cellStyle name="SAPBEXinputData 3 6 3" xfId="2591" xr:uid="{59957EFD-77FF-4D98-88D2-B46D41BAD10A}"/>
    <cellStyle name="SAPBEXinputData 3 6 3 2" xfId="5026" xr:uid="{070F42D5-8280-46E5-B165-E812C6D66884}"/>
    <cellStyle name="SAPBEXinputData 3 6 4" xfId="4256" xr:uid="{2E0E3F1A-DE7D-4519-92D2-F691F534B5F7}"/>
    <cellStyle name="SAPBEXinputData 3 7" xfId="1926" xr:uid="{1DDF0F80-74EA-4C2E-ADDC-0D1D081FB545}"/>
    <cellStyle name="SAPBEXinputData 3 7 2" xfId="2764" xr:uid="{224F7EBB-9B2B-47D3-B3C9-6F7B174F7596}"/>
    <cellStyle name="SAPBEXinputData 3 7 2 2" xfId="5199" xr:uid="{7A972553-56F5-43C5-9E31-5E05AF8CCC14}"/>
    <cellStyle name="SAPBEXinputData 3 7 3" xfId="4443" xr:uid="{AB1FCD97-DDDC-4423-8F0A-4308AE098F3A}"/>
    <cellStyle name="SAPBEXinputData 3 8" xfId="2568" xr:uid="{646A1240-742C-4B5D-86DC-F7A85D1E5C7E}"/>
    <cellStyle name="SAPBEXinputData 3 8 2" xfId="5003" xr:uid="{4CC097A4-D900-4F85-A639-D8358725EBB6}"/>
    <cellStyle name="SAPBEXinputData 3 9" xfId="4233" xr:uid="{258B7CE2-FFEA-43F2-905A-22EFE8695FE8}"/>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2 2 2" xfId="5383" xr:uid="{DB24497E-2015-4BDD-B3F2-A5DB0B5ADDB3}"/>
    <cellStyle name="SAPBEXinputData 4 2 2 2 2 3" xfId="4627" xr:uid="{BA92D004-E528-4614-BACF-AF8F64A2A860}"/>
    <cellStyle name="SAPBEXinputData 4 2 2 2 3" xfId="2595" xr:uid="{2EAE74A1-CDF6-40CF-B62F-3D9D82DB721F}"/>
    <cellStyle name="SAPBEXinputData 4 2 2 2 3 2" xfId="5030" xr:uid="{292861AB-3164-4093-9B3A-7AE83A2FD823}"/>
    <cellStyle name="SAPBEXinputData 4 2 2 2 4" xfId="4260" xr:uid="{BAA1AA0C-540E-4FBE-832F-D88C5A86F70A}"/>
    <cellStyle name="SAPBEXinputData 4 2 2 3" xfId="1940" xr:uid="{88B75914-9B56-46B7-A624-5A08AB9400DA}"/>
    <cellStyle name="SAPBEXinputData 4 2 2 3 2" xfId="2778" xr:uid="{28DAA0EE-37E3-499D-A984-9C70D1C841FF}"/>
    <cellStyle name="SAPBEXinputData 4 2 2 3 2 2" xfId="5213" xr:uid="{05E3E233-41C0-4329-9007-EB15B51CA0FC}"/>
    <cellStyle name="SAPBEXinputData 4 2 2 3 3" xfId="4457" xr:uid="{1AEDFAF7-7841-4500-A278-B35FE117F462}"/>
    <cellStyle name="SAPBEXinputData 4 2 2 4" xfId="2594" xr:uid="{6D0E931D-F845-4D84-8BD1-632459D01994}"/>
    <cellStyle name="SAPBEXinputData 4 2 2 4 2" xfId="5029" xr:uid="{689FBF51-9D30-4597-9729-8A99F80E3553}"/>
    <cellStyle name="SAPBEXinputData 4 2 2 5" xfId="4259" xr:uid="{91D329EF-E3A0-4456-957E-BE1443382FC6}"/>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2 2 2" xfId="5384" xr:uid="{75838B51-5ADC-4146-AD65-DDA87FC3A936}"/>
    <cellStyle name="SAPBEXinputData 4 2 3 2 2 3" xfId="4628" xr:uid="{2C4CB1CE-0B61-44C0-B7BD-0B1A0ECFCDD1}"/>
    <cellStyle name="SAPBEXinputData 4 2 3 2 3" xfId="2597" xr:uid="{B1902837-7A3A-40AD-A158-2C138FD38254}"/>
    <cellStyle name="SAPBEXinputData 4 2 3 2 3 2" xfId="5032" xr:uid="{63439BF6-60F9-4D11-9CDE-8D50FFFDEE01}"/>
    <cellStyle name="SAPBEXinputData 4 2 3 2 4" xfId="4262" xr:uid="{AA03456B-05AB-4043-BBDD-1DBA2A689170}"/>
    <cellStyle name="SAPBEXinputData 4 2 3 3" xfId="1941" xr:uid="{B01859D4-A00B-41D3-B2AC-A94E0B54FBB3}"/>
    <cellStyle name="SAPBEXinputData 4 2 3 3 2" xfId="2779" xr:uid="{AC1015E7-4002-4B32-89A2-26B19218282A}"/>
    <cellStyle name="SAPBEXinputData 4 2 3 3 2 2" xfId="5214" xr:uid="{9D05F15A-20D5-4D15-883B-C53AF27664E3}"/>
    <cellStyle name="SAPBEXinputData 4 2 3 3 3" xfId="4458" xr:uid="{DBD4C37F-F051-4CE9-86A9-2693B08F5F99}"/>
    <cellStyle name="SAPBEXinputData 4 2 3 4" xfId="2596" xr:uid="{D4F25CC6-122A-49F4-8288-B1C578DDF1ED}"/>
    <cellStyle name="SAPBEXinputData 4 2 3 4 2" xfId="5031" xr:uid="{CC3D40C8-7B91-4FFE-A87E-4E8F64C45619}"/>
    <cellStyle name="SAPBEXinputData 4 2 3 5" xfId="4261" xr:uid="{3C2FB233-1FED-412A-AA2F-6AB865A28849}"/>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2 2 2" xfId="5382" xr:uid="{8A855AE8-D107-4622-93E0-9274B57DCB4C}"/>
    <cellStyle name="SAPBEXinputData 4 2 4 2 3" xfId="4626" xr:uid="{B36CB8DA-4543-4C96-9894-B5CA1A2700D2}"/>
    <cellStyle name="SAPBEXinputData 4 2 4 3" xfId="2598" xr:uid="{6915977F-6868-4F0E-A54B-CE51D3E66155}"/>
    <cellStyle name="SAPBEXinputData 4 2 4 3 2" xfId="5033" xr:uid="{68F37A7B-3E4E-4462-B585-6B51669194AF}"/>
    <cellStyle name="SAPBEXinputData 4 2 4 4" xfId="4263" xr:uid="{8DD07F0B-95DA-4D8A-97C6-2279A984147C}"/>
    <cellStyle name="SAPBEXinputData 4 2 5" xfId="1939" xr:uid="{5EB2C34E-A30C-4BC4-8AAC-678F3E9E0313}"/>
    <cellStyle name="SAPBEXinputData 4 2 5 2" xfId="2777" xr:uid="{F7B7B427-AE75-4512-840E-B573F17E34C6}"/>
    <cellStyle name="SAPBEXinputData 4 2 5 2 2" xfId="5212" xr:uid="{6C33964B-DD4D-4849-8395-57388C2CE013}"/>
    <cellStyle name="SAPBEXinputData 4 2 5 3" xfId="4456" xr:uid="{5D6D2D47-CA1E-4A11-BFB4-38C2704A193F}"/>
    <cellStyle name="SAPBEXinputData 4 2 6" xfId="2593" xr:uid="{2BD2FBB2-CE01-4772-9C0A-1C4E0A555D94}"/>
    <cellStyle name="SAPBEXinputData 4 2 6 2" xfId="5028" xr:uid="{22E2781C-3BDE-487C-8882-C5FD7E2F5463}"/>
    <cellStyle name="SAPBEXinputData 4 2 7" xfId="4258" xr:uid="{AEAE8C13-EF09-43B7-BC73-7B68656A8B45}"/>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2 2 2" xfId="5385" xr:uid="{D4F65CA6-9B7E-407F-AE2E-0A3A6E00BF5A}"/>
    <cellStyle name="SAPBEXinputData 4 3 2 2 3" xfId="4629" xr:uid="{5B87D475-F3E2-4888-8D10-F085C75587F8}"/>
    <cellStyle name="SAPBEXinputData 4 3 2 3" xfId="2600" xr:uid="{C8C8EFCE-76E0-4C40-AE54-1640848F4E8E}"/>
    <cellStyle name="SAPBEXinputData 4 3 2 3 2" xfId="5035" xr:uid="{36633675-18A7-40F1-B8F1-CE32215C91BC}"/>
    <cellStyle name="SAPBEXinputData 4 3 2 4" xfId="4265" xr:uid="{36FC3921-2893-4988-B594-27935BEFD7D9}"/>
    <cellStyle name="SAPBEXinputData 4 3 3" xfId="1942" xr:uid="{8E6CC0FA-E2E0-4CB4-BB52-DA182DBA2F2A}"/>
    <cellStyle name="SAPBEXinputData 4 3 3 2" xfId="2780" xr:uid="{75DB3914-4466-443D-9D9D-23BB075DB32E}"/>
    <cellStyle name="SAPBEXinputData 4 3 3 2 2" xfId="5215" xr:uid="{277D1994-E483-47BF-B463-4E62C9E6BB77}"/>
    <cellStyle name="SAPBEXinputData 4 3 3 3" xfId="4459" xr:uid="{919F7574-DA32-4BBB-B4E4-E838694CE98C}"/>
    <cellStyle name="SAPBEXinputData 4 3 4" xfId="2599" xr:uid="{7EADADB6-353A-4EF0-92C0-E5709730C644}"/>
    <cellStyle name="SAPBEXinputData 4 3 4 2" xfId="5034" xr:uid="{4C7FD76F-85E3-4721-8293-0071DFF217CE}"/>
    <cellStyle name="SAPBEXinputData 4 3 5" xfId="4264" xr:uid="{1DC9F9CE-EE78-490E-8076-06A3637C7D09}"/>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2 2 2" xfId="5386" xr:uid="{F6D22EFF-9ED7-4246-B792-7F8F6D2B4D45}"/>
    <cellStyle name="SAPBEXinputData 4 4 2 2 3" xfId="4630" xr:uid="{BA185174-24EC-4EAF-B463-6ED9A7E87626}"/>
    <cellStyle name="SAPBEXinputData 4 4 2 3" xfId="2602" xr:uid="{B14EB756-E5A7-475E-8E29-6F837E480DEE}"/>
    <cellStyle name="SAPBEXinputData 4 4 2 3 2" xfId="5037" xr:uid="{985E592D-44E3-4A83-B9D9-19592174D9A4}"/>
    <cellStyle name="SAPBEXinputData 4 4 2 4" xfId="4267" xr:uid="{2693DD9B-FD52-4063-A116-C7B9893BA4D6}"/>
    <cellStyle name="SAPBEXinputData 4 4 3" xfId="1943" xr:uid="{ECD161EF-C41C-4218-B765-E7300B860C18}"/>
    <cellStyle name="SAPBEXinputData 4 4 3 2" xfId="2781" xr:uid="{1310E3C7-9AB5-4A77-899B-54BAACD49821}"/>
    <cellStyle name="SAPBEXinputData 4 4 3 2 2" xfId="5216" xr:uid="{85C67C44-F4E4-433C-887E-28693F5F1827}"/>
    <cellStyle name="SAPBEXinputData 4 4 3 3" xfId="4460" xr:uid="{338161AE-DEBD-417D-BB62-7ADF5DFCCB19}"/>
    <cellStyle name="SAPBEXinputData 4 4 4" xfId="2601" xr:uid="{FABC820D-BA09-42D3-85E4-95AA0D20124A}"/>
    <cellStyle name="SAPBEXinputData 4 4 4 2" xfId="5036" xr:uid="{91735020-016A-40ED-ABFC-F2F1D65593D6}"/>
    <cellStyle name="SAPBEXinputData 4 4 5" xfId="4266" xr:uid="{040625C5-4964-43F5-9137-FCFFD53CBA18}"/>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2 2 2" xfId="5381" xr:uid="{22183BD0-81F1-4374-A6AD-860AC0A6266D}"/>
    <cellStyle name="SAPBEXinputData 4 5 2 3" xfId="4625" xr:uid="{071FB007-8162-4B15-A4D3-6620F54A15F4}"/>
    <cellStyle name="SAPBEXinputData 4 5 3" xfId="2603" xr:uid="{C54BF548-223D-4364-9F65-CC04C59043D9}"/>
    <cellStyle name="SAPBEXinputData 4 5 3 2" xfId="5038" xr:uid="{D85394DB-03B5-404B-9BE8-E62837BC5983}"/>
    <cellStyle name="SAPBEXinputData 4 5 4" xfId="4268" xr:uid="{629BF795-64D5-4C2A-A9BA-119405863193}"/>
    <cellStyle name="SAPBEXinputData 4 6" xfId="1938" xr:uid="{ADCF935C-74F4-438C-9B55-C08943C103DF}"/>
    <cellStyle name="SAPBEXinputData 4 6 2" xfId="2776" xr:uid="{C68B494D-9C2F-457B-A575-640E7A037CC7}"/>
    <cellStyle name="SAPBEXinputData 4 6 2 2" xfId="5211" xr:uid="{C535E8A4-5BEC-4AE6-B7C7-F2216A2808DC}"/>
    <cellStyle name="SAPBEXinputData 4 6 3" xfId="4455" xr:uid="{C409E946-C30C-4C06-9DD7-E5FB076F702F}"/>
    <cellStyle name="SAPBEXinputData 4 7" xfId="2592" xr:uid="{B0660C25-8D44-4B4C-98D6-67E5695C59B3}"/>
    <cellStyle name="SAPBEXinputData 4 7 2" xfId="5027" xr:uid="{E2136055-B27A-4F36-9C7A-36A1517C3974}"/>
    <cellStyle name="SAPBEXinputData 4 8" xfId="4257" xr:uid="{C29C5910-C274-41A2-957F-0995510D1B11}"/>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2 2 2" xfId="5388" xr:uid="{C09E9B4B-E5A9-4548-8816-F675C7099AD2}"/>
    <cellStyle name="SAPBEXinputData 5 2 2 2 3" xfId="4632" xr:uid="{44ED45D8-7BBF-4AE0-98DF-C125DA5CBB94}"/>
    <cellStyle name="SAPBEXinputData 5 2 2 3" xfId="2606" xr:uid="{651D8948-BE09-46F2-9274-65AC252440D8}"/>
    <cellStyle name="SAPBEXinputData 5 2 2 3 2" xfId="5041" xr:uid="{7E7594F6-86D3-488A-BF46-1861A76773A2}"/>
    <cellStyle name="SAPBEXinputData 5 2 2 4" xfId="4271" xr:uid="{3B7A28BE-A37F-4163-BA71-688942BB8E6E}"/>
    <cellStyle name="SAPBEXinputData 5 2 3" xfId="1945" xr:uid="{BBEA4784-D1A6-4899-8798-BD8662343B3B}"/>
    <cellStyle name="SAPBEXinputData 5 2 3 2" xfId="2783" xr:uid="{E5733EF6-8BA0-4D5E-A08E-E1BD63D27CFF}"/>
    <cellStyle name="SAPBEXinputData 5 2 3 2 2" xfId="5218" xr:uid="{8E5FCDE0-1A11-4FD7-B28F-BC3DC0744944}"/>
    <cellStyle name="SAPBEXinputData 5 2 3 3" xfId="4462" xr:uid="{64D4987B-8387-49D1-B008-342AB80FE0AF}"/>
    <cellStyle name="SAPBEXinputData 5 2 4" xfId="2605" xr:uid="{0F0A4A30-63A5-4D4E-BA3D-BD857392CDCD}"/>
    <cellStyle name="SAPBEXinputData 5 2 4 2" xfId="5040" xr:uid="{21CD1FFB-4A17-45DB-AE97-3407E2661ACF}"/>
    <cellStyle name="SAPBEXinputData 5 2 5" xfId="4270" xr:uid="{990C60A4-3200-4B58-884E-820F26A163E9}"/>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2 2 2" xfId="5389" xr:uid="{A4065314-FBCA-47D3-ACF9-EC32670CB154}"/>
    <cellStyle name="SAPBEXinputData 5 3 2 2 3" xfId="4633" xr:uid="{6DEA340B-B8A3-4798-80CA-A0BC21F926C3}"/>
    <cellStyle name="SAPBEXinputData 5 3 2 3" xfId="2608" xr:uid="{9C3445DF-9509-421C-B633-5F31EC43F1A1}"/>
    <cellStyle name="SAPBEXinputData 5 3 2 3 2" xfId="5043" xr:uid="{09C79892-E37E-4B25-92BA-92300D6EAC21}"/>
    <cellStyle name="SAPBEXinputData 5 3 2 4" xfId="4273" xr:uid="{A9CB53B4-D61A-4A07-B0CA-0DACA8FBF103}"/>
    <cellStyle name="SAPBEXinputData 5 3 3" xfId="1946" xr:uid="{9A203C3B-A693-4550-A338-1D7BF656CF12}"/>
    <cellStyle name="SAPBEXinputData 5 3 3 2" xfId="2784" xr:uid="{61F4CEA1-34B5-47EA-8585-61E838D4A701}"/>
    <cellStyle name="SAPBEXinputData 5 3 3 2 2" xfId="5219" xr:uid="{373C8D0C-1D8C-45BE-8F25-E1FBB320145B}"/>
    <cellStyle name="SAPBEXinputData 5 3 3 3" xfId="4463" xr:uid="{F1005711-D0A9-4972-88D9-00C2154DC3E3}"/>
    <cellStyle name="SAPBEXinputData 5 3 4" xfId="2607" xr:uid="{202778C2-CEDD-4B64-830B-6D01744CF48B}"/>
    <cellStyle name="SAPBEXinputData 5 3 4 2" xfId="5042" xr:uid="{F4615492-DB1A-40E8-8444-2C4760D14F45}"/>
    <cellStyle name="SAPBEXinputData 5 3 5" xfId="4272" xr:uid="{9511D5E0-2698-473E-B75B-D2ED8704C8E9}"/>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2 2 2" xfId="5387" xr:uid="{DAC6BDFF-2C4F-445A-81E3-47161DEEAB11}"/>
    <cellStyle name="SAPBEXinputData 5 4 2 3" xfId="4631" xr:uid="{491D71A6-7463-4EB2-8D3B-5174199ECB33}"/>
    <cellStyle name="SAPBEXinputData 5 4 3" xfId="2609" xr:uid="{77591C62-202A-411E-97A4-D92049A492B3}"/>
    <cellStyle name="SAPBEXinputData 5 4 3 2" xfId="5044" xr:uid="{508FA169-600A-4B9A-92CD-E49E54866402}"/>
    <cellStyle name="SAPBEXinputData 5 4 4" xfId="4274" xr:uid="{CE52E37C-8324-478C-84F0-9509F27D1892}"/>
    <cellStyle name="SAPBEXinputData 5 5" xfId="1944" xr:uid="{2BFA106E-7F0D-46CD-9C49-8F67178707F6}"/>
    <cellStyle name="SAPBEXinputData 5 5 2" xfId="2782" xr:uid="{A744B0A5-E6C7-4751-A352-3160158C18A0}"/>
    <cellStyle name="SAPBEXinputData 5 5 2 2" xfId="5217" xr:uid="{8A1256D9-3FCB-4BB8-84A2-BEF40266978C}"/>
    <cellStyle name="SAPBEXinputData 5 5 3" xfId="4461" xr:uid="{20134D7F-AA96-43AC-9D7D-A5F1C56D64BA}"/>
    <cellStyle name="SAPBEXinputData 5 6" xfId="2604" xr:uid="{726AE2ED-CF95-4FED-879B-952EBE38E111}"/>
    <cellStyle name="SAPBEXinputData 5 6 2" xfId="5039" xr:uid="{F3CAD75B-12D1-41C0-9047-3633261C29BE}"/>
    <cellStyle name="SAPBEXinputData 5 7" xfId="4269" xr:uid="{DD21A4ED-9437-4FD0-B6D4-08FC337F7DCD}"/>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2 2 2" xfId="5390" xr:uid="{1BAE9532-E0CA-449E-BB90-2E0C935234BD}"/>
    <cellStyle name="SAPBEXinputData 6 2 2 3" xfId="4634" xr:uid="{3333E0CC-2C0C-4934-A64F-EB42CFA009AB}"/>
    <cellStyle name="SAPBEXinputData 6 2 3" xfId="2611" xr:uid="{28A49CBE-3FFE-47C2-8BB8-2BB510040A4C}"/>
    <cellStyle name="SAPBEXinputData 6 2 3 2" xfId="5046" xr:uid="{5C4CEACC-5884-45CD-857F-0FB8545466B5}"/>
    <cellStyle name="SAPBEXinputData 6 2 4" xfId="4276" xr:uid="{2D50F023-5369-446E-BEAB-A1D0B70E6918}"/>
    <cellStyle name="SAPBEXinputData 6 3" xfId="1947" xr:uid="{576A6C4E-41DF-49A0-8540-39E53DEEFA99}"/>
    <cellStyle name="SAPBEXinputData 6 3 2" xfId="2785" xr:uid="{2AB139A8-2A4E-47B2-A3CC-47E1D9095094}"/>
    <cellStyle name="SAPBEXinputData 6 3 2 2" xfId="5220" xr:uid="{6AB4FEFA-CAFD-4AAD-AFED-3B2D85B3F01B}"/>
    <cellStyle name="SAPBEXinputData 6 3 3" xfId="4464" xr:uid="{6CA8BC08-887F-4E81-A402-34A13CC6E270}"/>
    <cellStyle name="SAPBEXinputData 6 4" xfId="2610" xr:uid="{887F7A9F-2E81-45EB-BF98-C64BF48B37B2}"/>
    <cellStyle name="SAPBEXinputData 6 4 2" xfId="5045" xr:uid="{AFE0C273-E358-464F-9457-3127D54253CE}"/>
    <cellStyle name="SAPBEXinputData 6 5" xfId="4275" xr:uid="{18177171-BAFA-4FB0-8EC5-1D7CA6466A63}"/>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2 2 2" xfId="5391" xr:uid="{6FD9090E-73B8-4738-9C2F-07286A6462F2}"/>
    <cellStyle name="SAPBEXinputData 7 2 2 3" xfId="4635" xr:uid="{AA8CB639-F466-4595-9646-8DC5CE5DE12E}"/>
    <cellStyle name="SAPBEXinputData 7 2 3" xfId="2613" xr:uid="{40ACEDCB-1DC8-4B37-8E6B-929F9E502B83}"/>
    <cellStyle name="SAPBEXinputData 7 2 3 2" xfId="5048" xr:uid="{E87FFD49-9450-47D9-BAEC-03E65BDA3C45}"/>
    <cellStyle name="SAPBEXinputData 7 2 4" xfId="4278" xr:uid="{1B0842B4-0ABC-4479-B8C3-BB2659DE9DBE}"/>
    <cellStyle name="SAPBEXinputData 7 3" xfId="1948" xr:uid="{EDFBBEB9-F0DF-4840-B0A1-699AEA3C5305}"/>
    <cellStyle name="SAPBEXinputData 7 3 2" xfId="2786" xr:uid="{4E519B49-4883-4BB5-AA0F-CA1D97D9D500}"/>
    <cellStyle name="SAPBEXinputData 7 3 2 2" xfId="5221" xr:uid="{EEB75EB1-9C2D-44DB-8822-126B0A63442C}"/>
    <cellStyle name="SAPBEXinputData 7 3 3" xfId="4465" xr:uid="{D65761C7-2E13-4A3C-979C-EA31B94CE777}"/>
    <cellStyle name="SAPBEXinputData 7 4" xfId="2612" xr:uid="{79372DB8-D707-42FE-934E-3BE012077E30}"/>
    <cellStyle name="SAPBEXinputData 7 4 2" xfId="5047" xr:uid="{1FA324C4-F787-4630-9AE4-68BA9B4A4DE0}"/>
    <cellStyle name="SAPBEXinputData 7 5" xfId="4277" xr:uid="{CF3D713F-E48D-49D1-A58F-A7ED3F9F7E11}"/>
    <cellStyle name="SAPBEXinputData 8" xfId="1744" xr:uid="{20692C8D-BC70-480B-8AAD-90F3005CB57D}"/>
    <cellStyle name="SAPBEXinputData 8 2" xfId="2095" xr:uid="{776AADCC-CCBF-460C-BD1E-651A2A965DA7}"/>
    <cellStyle name="SAPBEXinputData 8 2 2" xfId="2933" xr:uid="{4A8BA7EB-2204-4E6B-B80B-B0BC613E7BF4}"/>
    <cellStyle name="SAPBEXinputData 8 2 2 2" xfId="5368" xr:uid="{CAFAF4A5-1D5B-4298-A86B-0399B4FDF9F4}"/>
    <cellStyle name="SAPBEXinputData 8 2 3" xfId="4612" xr:uid="{ED19E0DF-C0F0-45F6-8DC0-D5D70D76B258}"/>
    <cellStyle name="SAPBEXinputData 8 3" xfId="2614" xr:uid="{83A102BC-1B4D-4DE9-85C4-E7210BF91455}"/>
    <cellStyle name="SAPBEXinputData 8 3 2" xfId="5049" xr:uid="{4C95BC85-61DA-457C-80FC-9FB98EDFC0C0}"/>
    <cellStyle name="SAPBEXinputData 8 4" xfId="4279" xr:uid="{CEF1BEB9-783D-4BD7-BE97-8140B257B84D}"/>
    <cellStyle name="SAPBEXinputData 9" xfId="1925" xr:uid="{7F807C61-556E-4BEA-A6BB-8C081C68A9C7}"/>
    <cellStyle name="SAPBEXinputData 9 2" xfId="2763" xr:uid="{E6B183FF-7F4A-4D2E-A70B-5061D0BE0491}"/>
    <cellStyle name="SAPBEXinputData 9 2 2" xfId="5198" xr:uid="{ADC63C79-18DE-4C22-BD0A-9086961852F6}"/>
    <cellStyle name="SAPBEXinputData 9 3" xfId="4442" xr:uid="{0F4B45A2-5D7E-4DF8-9241-FC7C06EEAC44}"/>
    <cellStyle name="SAPBEXItemHeader" xfId="1745" xr:uid="{DD6CA560-4A36-483C-8953-1BF231E1EB1F}"/>
    <cellStyle name="SAPBEXItemHeader 2" xfId="3265" xr:uid="{2EC7314F-6A05-4E67-99E1-4DE74E76035E}"/>
    <cellStyle name="SAPBEXItemHeader 2 2" xfId="5639" xr:uid="{30C56DEF-4E2B-405C-8B72-B34B75396D9C}"/>
    <cellStyle name="SAPBEXItemHeader 3" xfId="3060" xr:uid="{0738AF2B-D779-4A85-9E5B-65EDC3B5AF8D}"/>
    <cellStyle name="SAPBEXItemHeader 3 2" xfId="5434" xr:uid="{A7F4E2F9-12E8-452B-8A15-69C7C21F565B}"/>
    <cellStyle name="SAPBEXItemHeader 4" xfId="4280" xr:uid="{0BFF4FDA-CCAB-4644-9DC6-512FC2C90BAA}"/>
    <cellStyle name="SAPBEXresData" xfId="101" xr:uid="{00000000-0005-0000-0000-00004F030000}"/>
    <cellStyle name="SAPBEXresData 2" xfId="139" xr:uid="{00000000-0005-0000-0000-000050030000}"/>
    <cellStyle name="SAPBEXresData 2 2" xfId="3230" xr:uid="{4801B8EF-FC35-473B-82C7-C6A72948F30E}"/>
    <cellStyle name="SAPBEXresData 2 2 2" xfId="5604" xr:uid="{0624EE80-F7D9-4996-8E30-E82A337DE200}"/>
    <cellStyle name="SAPBEXresData 2 3" xfId="3229" xr:uid="{EF224C7C-6E01-407D-9911-6C5CC6050B76}"/>
    <cellStyle name="SAPBEXresData 2 3 2" xfId="5603" xr:uid="{219B1DE0-A694-4F24-BBE8-E86798E3947E}"/>
    <cellStyle name="SAPBEXresData 2 4" xfId="1747" xr:uid="{FBE9E92B-255D-4B37-82A1-B9F118BB2257}"/>
    <cellStyle name="SAPBEXresData 2 4 2" xfId="4282" xr:uid="{AE1C1E15-91F0-4E1D-8ACE-054D398CF8B6}"/>
    <cellStyle name="SAPBEXresData 2 5" xfId="3360" xr:uid="{B24C225E-C21B-4125-860F-24A057731B1D}"/>
    <cellStyle name="SAPBEXresData 3" xfId="3045" xr:uid="{D90D24B0-9330-4026-B44D-E73E2B9A938C}"/>
    <cellStyle name="SAPBEXresData 3 2" xfId="5419" xr:uid="{F724DF32-D76F-49C3-93C9-040DD14483A2}"/>
    <cellStyle name="SAPBEXresData 4" xfId="3165" xr:uid="{576E1856-1214-4D79-A8BD-8B58BF6DE9A9}"/>
    <cellStyle name="SAPBEXresData 4 2" xfId="5539" xr:uid="{9BD21E5D-9171-4223-B93F-6776D4E90B51}"/>
    <cellStyle name="SAPBEXresData 5" xfId="1746" xr:uid="{671C23F3-614D-4F0F-A68D-50BAA3C21D10}"/>
    <cellStyle name="SAPBEXresData 5 2" xfId="4281" xr:uid="{2EE80BA1-2FC2-4E27-A35D-D3FF13DFCCD3}"/>
    <cellStyle name="SAPBEXresData 6" xfId="3340" xr:uid="{8D0E6CB0-323B-492E-99A4-509626816358}"/>
    <cellStyle name="SAPBEXresDataEmph" xfId="102" xr:uid="{00000000-0005-0000-0000-000051030000}"/>
    <cellStyle name="SAPBEXresDataEmph 2" xfId="1749" xr:uid="{1C541A26-0409-45DA-A414-55DDA3080D07}"/>
    <cellStyle name="SAPBEXresDataEmph 2 2" xfId="3104" xr:uid="{05692A21-EEE4-431F-BE09-0D252F5A93D3}"/>
    <cellStyle name="SAPBEXresDataEmph 2 2 2" xfId="5478" xr:uid="{05489A13-E713-4F75-B179-14FD6F338094}"/>
    <cellStyle name="SAPBEXresDataEmph 3" xfId="3109" xr:uid="{FB2B5432-778B-4941-B9D1-6B66B275C095}"/>
    <cellStyle name="SAPBEXresDataEmph 3 2" xfId="5483" xr:uid="{6FFA06BF-2F03-4D6D-933E-F9CDC696C73D}"/>
    <cellStyle name="SAPBEXresDataEmph 4" xfId="3207" xr:uid="{6140352F-6FED-4E25-9619-2297603739B0}"/>
    <cellStyle name="SAPBEXresDataEmph 4 2" xfId="5581" xr:uid="{8D525B17-6D72-4C33-99D5-61107AC512A2}"/>
    <cellStyle name="SAPBEXresDataEmph 5" xfId="1748" xr:uid="{0566DAAE-C3FB-472B-A76C-DB5553C496AB}"/>
    <cellStyle name="SAPBEXresDataEmph 5 2" xfId="4283" xr:uid="{9B20A395-60F6-46D4-ABFD-CD9D942794F4}"/>
    <cellStyle name="SAPBEXresDataEmph 6" xfId="3341" xr:uid="{2C351558-57F9-4B30-85AE-AF21F078E2CF}"/>
    <cellStyle name="SAPBEXresItem" xfId="103" xr:uid="{00000000-0005-0000-0000-000052030000}"/>
    <cellStyle name="SAPBEXresItem 2" xfId="140" xr:uid="{00000000-0005-0000-0000-000053030000}"/>
    <cellStyle name="SAPBEXresItem 2 2" xfId="3271" xr:uid="{ED142BE8-CE84-4036-B482-C8705B9177A4}"/>
    <cellStyle name="SAPBEXresItem 2 2 2" xfId="5645" xr:uid="{9D289A1D-B4EC-429B-8830-AD3D1A0E4D2F}"/>
    <cellStyle name="SAPBEXresItem 2 3" xfId="3145" xr:uid="{59241FFD-4891-43B2-9E20-E0C288986ADF}"/>
    <cellStyle name="SAPBEXresItem 2 3 2" xfId="5519" xr:uid="{1482167A-01DD-4A62-9498-4A8489D5C7EE}"/>
    <cellStyle name="SAPBEXresItem 2 4" xfId="1751" xr:uid="{849A065E-F31F-40FD-95D8-4729FDA2A894}"/>
    <cellStyle name="SAPBEXresItem 2 4 2" xfId="4285" xr:uid="{56994426-548B-44F8-80B1-3D04D1CAD3C6}"/>
    <cellStyle name="SAPBEXresItem 2 5" xfId="3361" xr:uid="{74B7B49B-7A3A-4A98-9E68-AED3F7899087}"/>
    <cellStyle name="SAPBEXresItem 3" xfId="3142" xr:uid="{6790EF59-35F7-49E2-B284-9610B159AD0F}"/>
    <cellStyle name="SAPBEXresItem 3 2" xfId="5516" xr:uid="{C7C2FE81-3996-406C-983D-B9AD904EFB0A}"/>
    <cellStyle name="SAPBEXresItem 4" xfId="3259" xr:uid="{44213227-9F9E-4DC7-9299-F0DB1D31C26F}"/>
    <cellStyle name="SAPBEXresItem 4 2" xfId="5633" xr:uid="{05A02F71-1659-41A1-97D2-DCB23E259CB5}"/>
    <cellStyle name="SAPBEXresItem 5" xfId="1750" xr:uid="{D2F22319-EFC3-4421-8AE6-D304A2DE7E78}"/>
    <cellStyle name="SAPBEXresItem 5 2" xfId="4284" xr:uid="{793EAECF-BAD7-4E9B-A96A-05C28A4E6BB9}"/>
    <cellStyle name="SAPBEXresItem 6" xfId="3342" xr:uid="{CC40826C-A38E-42F4-9802-45EABAD433A3}"/>
    <cellStyle name="SAPBEXresItemX" xfId="104" xr:uid="{00000000-0005-0000-0000-000054030000}"/>
    <cellStyle name="SAPBEXresItemX 2" xfId="141" xr:uid="{00000000-0005-0000-0000-000055030000}"/>
    <cellStyle name="SAPBEXresItemX 2 2" xfId="3184" xr:uid="{53690D77-EBAB-472F-8354-41FE608EA1AB}"/>
    <cellStyle name="SAPBEXresItemX 2 2 2" xfId="5558" xr:uid="{340B422C-0C34-4BFD-BAF3-38659F576C32}"/>
    <cellStyle name="SAPBEXresItemX 2 3" xfId="3078" xr:uid="{0910C8F3-FD5A-4553-AA14-033D8AD3B238}"/>
    <cellStyle name="SAPBEXresItemX 2 3 2" xfId="5452" xr:uid="{CFCBC59C-DC76-4016-BB6B-957945871CF4}"/>
    <cellStyle name="SAPBEXresItemX 2 4" xfId="1753" xr:uid="{AEF461DC-586E-4C07-9D3B-E160EE9E1E14}"/>
    <cellStyle name="SAPBEXresItemX 2 4 2" xfId="4287" xr:uid="{227A3B16-5DCB-4732-8F14-1291E3CB6CB5}"/>
    <cellStyle name="SAPBEXresItemX 2 5" xfId="3362" xr:uid="{55588F35-41B1-4433-A7D2-7F1F3FF4484F}"/>
    <cellStyle name="SAPBEXresItemX 3" xfId="945" xr:uid="{A986BF0C-E6BA-4D74-9C4F-43A03DE97EEB}"/>
    <cellStyle name="SAPBEXresItemX 3 2" xfId="3228" xr:uid="{1F65111D-43F9-4795-AE1F-8D3C9AFA6B34}"/>
    <cellStyle name="SAPBEXresItemX 3 2 2" xfId="5602" xr:uid="{DDC389BE-58B9-440A-B3DB-F3721D26927F}"/>
    <cellStyle name="SAPBEXresItemX 3 3" xfId="3841" xr:uid="{94C83636-6FB2-4964-9281-59A786F7ADA1}"/>
    <cellStyle name="SAPBEXresItemX 4" xfId="3274" xr:uid="{5B955A2D-A3B4-45A6-9EE9-1BB265851C65}"/>
    <cellStyle name="SAPBEXresItemX 4 2" xfId="5648" xr:uid="{06B1B491-76B6-4F63-A68A-6EB743FD0326}"/>
    <cellStyle name="SAPBEXresItemX 5" xfId="1752" xr:uid="{95CABAE8-6F63-425C-A835-3752583C5DB9}"/>
    <cellStyle name="SAPBEXresItemX 5 2" xfId="4286" xr:uid="{DE4D7B77-EADD-4328-9C75-3214F09850A5}"/>
    <cellStyle name="SAPBEXresItemX 6" xfId="3343" xr:uid="{14892A91-01D6-41D4-A8B2-AA7D682ABA7D}"/>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2 2" xfId="5615" xr:uid="{FA1F26BE-9D46-4EF9-9DCF-391E21198CB0}"/>
    <cellStyle name="SAPBEXstdData 2 2 2 3" xfId="3254" xr:uid="{E7E79820-5EC9-40A0-B44A-BBEB895994B0}"/>
    <cellStyle name="SAPBEXstdData 2 2 2 3 2" xfId="5628" xr:uid="{1E2D2907-5334-44A3-A3AB-E0CCA178E968}"/>
    <cellStyle name="SAPBEXstdData 2 2 2 4" xfId="4291" xr:uid="{9B53BCEB-9933-4676-AE64-BC46EC244728}"/>
    <cellStyle name="SAPBEXstdData 2 2 3" xfId="3052" xr:uid="{7E41A4BC-2233-4ADE-B5DB-6629EC38C317}"/>
    <cellStyle name="SAPBEXstdData 2 2 3 2" xfId="5426" xr:uid="{DFC6CAD6-E526-453C-A17E-777BBA7899C1}"/>
    <cellStyle name="SAPBEXstdData 2 2 4" xfId="3301" xr:uid="{1B8A748A-4372-4C18-A2F5-01CFF9879DBB}"/>
    <cellStyle name="SAPBEXstdData 2 2 4 2" xfId="5675" xr:uid="{B09A114B-6E42-4611-B2FC-4BD2F767C49A}"/>
    <cellStyle name="SAPBEXstdData 2 2 5" xfId="4290" xr:uid="{F6589F00-9791-4F28-B16D-C56ED7CC8240}"/>
    <cellStyle name="SAPBEXstdData 2 3" xfId="1758" xr:uid="{E9F317E6-DEB5-40EF-B50A-F9DE0919E3B3}"/>
    <cellStyle name="SAPBEXstdData 2 3 2" xfId="3044" xr:uid="{D2B9FA23-59FF-4C27-BF71-E03D5B97670F}"/>
    <cellStyle name="SAPBEXstdData 2 3 2 2" xfId="5418" xr:uid="{E6C6B321-0237-4E5C-BBEA-B5FC26067E67}"/>
    <cellStyle name="SAPBEXstdData 2 3 3" xfId="3299" xr:uid="{E13CD35D-934C-409F-B688-8237B74A5BB3}"/>
    <cellStyle name="SAPBEXstdData 2 3 3 2" xfId="5673" xr:uid="{1B63D55B-AC27-4D86-8F31-496B3A2A54A7}"/>
    <cellStyle name="SAPBEXstdData 2 3 4" xfId="4292" xr:uid="{5ECEC8DD-779C-4176-BA30-CB41D5CD9B9B}"/>
    <cellStyle name="SAPBEXstdData 2 4" xfId="3159" xr:uid="{D39A96E0-4920-46B3-9D15-EE9D8AB47BFD}"/>
    <cellStyle name="SAPBEXstdData 2 4 2" xfId="5533" xr:uid="{1F2A5F3F-F22E-411B-B46D-88E65F9BA133}"/>
    <cellStyle name="SAPBEXstdData 2 5" xfId="3098" xr:uid="{37F73EF2-E06D-44F2-94FB-03CFFDDED03F}"/>
    <cellStyle name="SAPBEXstdData 2 5 2" xfId="5472" xr:uid="{F3051B3F-2E7C-4E87-A39C-8D554773E2A6}"/>
    <cellStyle name="SAPBEXstdData 2 6" xfId="1755" xr:uid="{9755F09E-688B-4712-89A1-DFF3A552EE58}"/>
    <cellStyle name="SAPBEXstdData 2 6 2" xfId="4289" xr:uid="{270B092B-1CD9-410C-87F6-50109CB3CD86}"/>
    <cellStyle name="SAPBEXstdData 2 7" xfId="3363" xr:uid="{BCEAD2FE-3FC2-42B8-AE0B-AE9FD3FA7A35}"/>
    <cellStyle name="SAPBEXstdData 3" xfId="889" xr:uid="{A87DB1B3-E42C-412B-BA07-8E4275339EE4}"/>
    <cellStyle name="SAPBEXstdData 3 2" xfId="3100" xr:uid="{FC058B3D-AC7E-4D8C-9597-83CD34034591}"/>
    <cellStyle name="SAPBEXstdData 3 2 2" xfId="5474" xr:uid="{295B8167-7829-4180-A293-B078FB397BE3}"/>
    <cellStyle name="SAPBEXstdData 3 3" xfId="3820" xr:uid="{7EB43ECC-BAC1-4E26-B57C-658ED6B65545}"/>
    <cellStyle name="SAPBEXstdData 4" xfId="3113" xr:uid="{F322F71E-43BB-4C50-B396-D6A505D15F9E}"/>
    <cellStyle name="SAPBEXstdData 4 2" xfId="5487" xr:uid="{FEA26559-4F74-418F-B1E7-2DAE7BFE2E40}"/>
    <cellStyle name="SAPBEXstdData 5" xfId="1754" xr:uid="{FFE62272-6AD1-4EFC-A9DE-1C29880286ED}"/>
    <cellStyle name="SAPBEXstdData 5 2" xfId="4288" xr:uid="{C848AC14-F7CE-4326-BF02-5A00715C0B2B}"/>
    <cellStyle name="SAPBEXstdData 6" xfId="3344" xr:uid="{C19784C1-9DD6-4DB6-B6BA-E4182268F89F}"/>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2 2" xfId="5636" xr:uid="{F6F03500-C6EC-4076-AFC8-CB5A5CAE9E6D}"/>
    <cellStyle name="SAPBEXstdDataEmph 2 3" xfId="3239" xr:uid="{91B0E418-6484-47CE-AC7E-2FFEE8193AA6}"/>
    <cellStyle name="SAPBEXstdDataEmph 2 3 2" xfId="5613" xr:uid="{2824C20C-CB24-4F4C-8CB0-19AC36F80070}"/>
    <cellStyle name="SAPBEXstdDataEmph 2 4" xfId="4294" xr:uid="{68743FD8-C9C8-415E-9313-93A9E71F111C}"/>
    <cellStyle name="SAPBEXstdDataEmph 3" xfId="3208" xr:uid="{B02E2C00-F475-431C-A96D-17321273C03C}"/>
    <cellStyle name="SAPBEXstdDataEmph 3 2" xfId="5582" xr:uid="{FA8F1494-DBD7-4459-81E4-F892B639FC3F}"/>
    <cellStyle name="SAPBEXstdDataEmph 4" xfId="3303" xr:uid="{142E2079-46D2-4A14-A8D9-591CCC38FD42}"/>
    <cellStyle name="SAPBEXstdDataEmph 4 2" xfId="5677" xr:uid="{DFEC6CCC-FCC4-4E2F-9F05-09D41061260F}"/>
    <cellStyle name="SAPBEXstdDataEmph 5" xfId="1760" xr:uid="{1D8F0283-0FA9-424B-BBBD-598B4EE031F5}"/>
    <cellStyle name="SAPBEXstdDataEmph 5 2" xfId="4293" xr:uid="{B3122C8E-DFD8-4438-BC96-9961AF233715}"/>
    <cellStyle name="SAPBEXstdDataEmph 6" xfId="3345" xr:uid="{4B1CB224-FAA4-4670-8320-8163220C87AB}"/>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2 2" xfId="5455" xr:uid="{4A4DCA5B-DA9B-4A73-B4CE-4B71A9CD08E3}"/>
    <cellStyle name="SAPBEXstdItem 2 2 3" xfId="3302" xr:uid="{4BB1D325-2816-4AE4-8635-C4F430D4F726}"/>
    <cellStyle name="SAPBEXstdItem 2 2 3 2" xfId="5676" xr:uid="{1A8AE7AC-8841-4A95-917A-72D71C6FF5A1}"/>
    <cellStyle name="SAPBEXstdItem 2 2 4" xfId="4297" xr:uid="{BCAEF312-D3CA-438A-A54D-24BA91FEBB83}"/>
    <cellStyle name="SAPBEXstdItem 2 3" xfId="1765" xr:uid="{CDD482C5-4598-46EF-95EC-76B6E87D3B67}"/>
    <cellStyle name="SAPBEXstdItem 2 3 2" xfId="3257" xr:uid="{3B3AB500-1125-40A4-9849-51E489E0E5A9}"/>
    <cellStyle name="SAPBEXstdItem 2 3 2 2" xfId="5631" xr:uid="{B342766D-C8D9-4D25-A74E-96D6D880A57F}"/>
    <cellStyle name="SAPBEXstdItem 2 3 3" xfId="3108" xr:uid="{9B37BABF-B24F-4A49-8677-DAE7E65DB18E}"/>
    <cellStyle name="SAPBEXstdItem 2 3 3 2" xfId="5482" xr:uid="{95D4E2F2-4DDD-4FEA-BA8A-B33F20424F91}"/>
    <cellStyle name="SAPBEXstdItem 2 3 4" xfId="4298" xr:uid="{225F8358-0A7A-4958-B175-3FB03CE4D1C3}"/>
    <cellStyle name="SAPBEXstdItem 2 4" xfId="3095" xr:uid="{8BB18BED-6EAC-43C6-BD27-B49F1C945BE6}"/>
    <cellStyle name="SAPBEXstdItem 2 4 2" xfId="5469" xr:uid="{210D5125-8CAD-42DC-BB49-4D11EFA91B94}"/>
    <cellStyle name="SAPBEXstdItem 2 5" xfId="3180" xr:uid="{F5CF98F1-D9E0-4D08-A549-189006DF9200}"/>
    <cellStyle name="SAPBEXstdItem 2 5 2" xfId="5554" xr:uid="{0C5F4A66-08EC-4B64-BD5F-2F2CC6C16B1D}"/>
    <cellStyle name="SAPBEXstdItem 2 6" xfId="1763" xr:uid="{3999662E-782D-4D68-820D-4F757E8C65C6}"/>
    <cellStyle name="SAPBEXstdItem 2 6 2" xfId="4296" xr:uid="{449EF79F-7515-4E39-8FB1-65F193FA8F6C}"/>
    <cellStyle name="SAPBEXstdItem 2 7" xfId="3364" xr:uid="{A22E0474-E919-4A54-939B-CF01D19954A6}"/>
    <cellStyle name="SAPBEXstdItem 3" xfId="890" xr:uid="{045C2561-423E-4B09-9F8E-E7C7DA435F49}"/>
    <cellStyle name="SAPBEXstdItem 3 2" xfId="3244" xr:uid="{77FA904F-8838-45F4-9FA0-10EF2C0A0822}"/>
    <cellStyle name="SAPBEXstdItem 3 2 2" xfId="5618" xr:uid="{01DA8E0D-327B-4D1A-BF4C-B1ECA48488C6}"/>
    <cellStyle name="SAPBEXstdItem 3 3" xfId="3821" xr:uid="{F0E6AB7C-72A4-49BD-8D8F-1629896BC55C}"/>
    <cellStyle name="SAPBEXstdItem 4" xfId="3300" xr:uid="{8EB0487E-28F8-46C9-9F68-847257ED2211}"/>
    <cellStyle name="SAPBEXstdItem 4 2" xfId="5674" xr:uid="{0E24B171-5AAF-43C1-B103-BF9E3058D3FB}"/>
    <cellStyle name="SAPBEXstdItem 5" xfId="1762" xr:uid="{FEC4E776-1285-4D59-9D0E-66AD54C7993B}"/>
    <cellStyle name="SAPBEXstdItem 5 2" xfId="4295" xr:uid="{14D84144-D10C-41E1-8D43-5D0825E5EBD1}"/>
    <cellStyle name="SAPBEXstdItem 6" xfId="3346" xr:uid="{6F725798-F779-4608-8AB3-A8A2437EB26F}"/>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2 2" xfId="5479" xr:uid="{22916A8C-3F18-42AA-8EE7-4C30EBAAE73C}"/>
    <cellStyle name="SAPBEXstdItemX 2 3" xfId="3297" xr:uid="{10EAD126-FD20-43EF-B373-8D15196882E9}"/>
    <cellStyle name="SAPBEXstdItemX 2 3 2" xfId="5671" xr:uid="{8C8BB632-1994-45A1-B17C-3EDAAC9EB5C3}"/>
    <cellStyle name="SAPBEXstdItemX 2 4" xfId="1768" xr:uid="{41A06426-20C4-4E20-8EB0-43AE83C99905}"/>
    <cellStyle name="SAPBEXstdItemX 2 4 2" xfId="4300" xr:uid="{1969A23E-9779-42ED-90D2-9E72F1B3750E}"/>
    <cellStyle name="SAPBEXstdItemX 2 5" xfId="3365" xr:uid="{3054E2B9-EC3A-46AA-B5F8-335FFCCECF2F}"/>
    <cellStyle name="SAPBEXstdItemX 3" xfId="949" xr:uid="{BC771335-9857-4003-AA06-21242087AB2F}"/>
    <cellStyle name="SAPBEXstdItemX 3 2" xfId="3097" xr:uid="{7A282F8C-A837-4F0B-A93B-5CCEDF314816}"/>
    <cellStyle name="SAPBEXstdItemX 3 2 2" xfId="5471" xr:uid="{FB7EEAF0-DE1C-4C7E-BD43-A37080DCACF0}"/>
    <cellStyle name="SAPBEXstdItemX 3 3" xfId="3844" xr:uid="{17B507B2-AF9D-4F30-9984-A4B9FF823DBB}"/>
    <cellStyle name="SAPBEXstdItemX 4" xfId="3114" xr:uid="{D71F835E-5326-4EE7-8749-1AF43A646AEA}"/>
    <cellStyle name="SAPBEXstdItemX 4 2" xfId="5488" xr:uid="{82420BD5-91C9-4FC0-9D1A-4F021726CF5A}"/>
    <cellStyle name="SAPBEXstdItemX 5" xfId="1767" xr:uid="{51DB7923-555E-47B1-99BF-E5192B0AF1AE}"/>
    <cellStyle name="SAPBEXstdItemX 5 2" xfId="4299" xr:uid="{D8F7DA30-0F94-411A-A4E2-19B86CD69DB2}"/>
    <cellStyle name="SAPBEXstdItemX 6" xfId="3347" xr:uid="{36DDBD02-3280-4A12-BAD0-A534D6D3B633}"/>
    <cellStyle name="SAPBEXtitle" xfId="109" xr:uid="{00000000-0005-0000-0000-00005D030000}"/>
    <cellStyle name="SAPBEXtitle 2" xfId="1770" xr:uid="{AB380B6C-104A-4764-A557-2620C69181A7}"/>
    <cellStyle name="SAPBEXtitle 2 2" xfId="3148" xr:uid="{01CBBD32-3A40-45CA-B2BB-AC26D67E1ED8}"/>
    <cellStyle name="SAPBEXtitle 2 2 2" xfId="5522" xr:uid="{C888C778-2BA3-44EE-A249-8C98D9EC713A}"/>
    <cellStyle name="SAPBEXtitle 2 3" xfId="3295" xr:uid="{4131EAF6-F201-4FEA-B8BA-EB88098CD1CF}"/>
    <cellStyle name="SAPBEXtitle 2 3 2" xfId="5669" xr:uid="{897B12FF-50A4-4279-AC89-AC78F8436683}"/>
    <cellStyle name="SAPBEXtitle 2 4" xfId="4301" xr:uid="{2445A2F1-2B99-494B-A08D-9AFC155A8398}"/>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2 2 2" xfId="5670" xr:uid="{14CF8098-033E-4CB8-BF6E-C8E46B3D61DE}"/>
    <cellStyle name="SAPBEXunassignedItem 3" xfId="1773" xr:uid="{0C8120C1-8347-4CFB-A22C-998861B79FB7}"/>
    <cellStyle name="SAPBEXunassignedItem 3 2" xfId="3151" xr:uid="{BE7FB166-B4C2-4502-96A8-36DEC2E5D607}"/>
    <cellStyle name="SAPBEXunassignedItem 3 2 2" xfId="5525" xr:uid="{428AE45B-3791-46D1-BCD3-F03DF1FF7038}"/>
    <cellStyle name="SAPBEXunassignedItem 4" xfId="3080" xr:uid="{82A2B1BF-FE18-4A65-91E3-977ECE9D76B9}"/>
    <cellStyle name="SAPBEXunassignedItem 4 2" xfId="5454" xr:uid="{B5C6344A-C3D7-4857-87AD-A6E96D1F9AE9}"/>
    <cellStyle name="SAPBEXundefined" xfId="110" xr:uid="{00000000-0005-0000-0000-00005E030000}"/>
    <cellStyle name="SAPBEXundefined 2" xfId="1775" xr:uid="{EDD78056-FAC7-483C-B368-650D12C59F96}"/>
    <cellStyle name="SAPBEXundefined 2 2" xfId="3213" xr:uid="{7A758E2A-FA07-40BE-9A4E-23441FC25F7B}"/>
    <cellStyle name="SAPBEXundefined 2 2 2" xfId="5587" xr:uid="{2918B7E8-E711-407C-A47D-C92E97944910}"/>
    <cellStyle name="SAPBEXundefined 2 3" xfId="3068" xr:uid="{ACD26AF5-F260-4E8B-BFDD-7A3C7DB6AA59}"/>
    <cellStyle name="SAPBEXundefined 2 3 2" xfId="5442" xr:uid="{47E8233F-B1B1-47DC-9802-A0D70275FC07}"/>
    <cellStyle name="SAPBEXundefined 2 4" xfId="4303" xr:uid="{03CF2259-2DE7-4A2C-BDD5-43F909C9CFAD}"/>
    <cellStyle name="SAPBEXundefined 3" xfId="3284" xr:uid="{377F57E8-45FD-414D-A171-B817545A4E1F}"/>
    <cellStyle name="SAPBEXundefined 3 2" xfId="5658" xr:uid="{5E835B97-FAE3-4F62-BB4C-9A599CF8EC06}"/>
    <cellStyle name="SAPBEXundefined 4" xfId="3298" xr:uid="{8DFEED10-5827-4ED4-9253-788C0AECFABD}"/>
    <cellStyle name="SAPBEXundefined 4 2" xfId="5672" xr:uid="{262ED546-13DA-4837-8339-41D19795D6F5}"/>
    <cellStyle name="SAPBEXundefined 5" xfId="1774" xr:uid="{98824E1C-FBA2-457A-B508-9FB42F451674}"/>
    <cellStyle name="SAPBEXundefined 5 2" xfId="4302" xr:uid="{875FBCF8-02EB-487E-9520-B7CDB89055BE}"/>
    <cellStyle name="SAPBEXundefined 6" xfId="3348" xr:uid="{FDF3671F-1093-4636-8420-2E864B7CB116}"/>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10" xfId="3349" xr:uid="{D7069E8E-C5C8-4D8A-8D21-06F42D88D1FE}"/>
    <cellStyle name="Total 2" xfId="189" xr:uid="{00000000-0005-0000-0000-000069030000}"/>
    <cellStyle name="Total 2 2" xfId="1778" xr:uid="{179976E3-04EB-4C47-B29E-63F54A6D3201}"/>
    <cellStyle name="Total 2 2 2" xfId="3162" xr:uid="{ED8282DE-82DE-4016-90DC-792A93E0888E}"/>
    <cellStyle name="Total 2 2 2 2" xfId="5536" xr:uid="{0D074F41-AC6B-42D8-B87D-C13032F7C791}"/>
    <cellStyle name="Total 2 2 3" xfId="4305" xr:uid="{09D15B14-368C-4E7E-BC27-6DDD8566482D}"/>
    <cellStyle name="Total 2 3" xfId="3172" xr:uid="{EC3534D5-41D2-43AF-B4AC-8C381F170761}"/>
    <cellStyle name="Total 2 3 2" xfId="5546" xr:uid="{B5BF204F-3FB5-4E38-BC83-CB451AD0B6D0}"/>
    <cellStyle name="Total 2 4" xfId="1777" xr:uid="{20809672-789B-4F9B-B2B6-D104885B016E}"/>
    <cellStyle name="Total 2 4 2" xfId="4304" xr:uid="{F7CE4193-E4B3-462F-8B12-7435128CEF8A}"/>
    <cellStyle name="Total 2 5" xfId="3371" xr:uid="{1103A734-153C-4098-B797-D6FD4A51468B}"/>
    <cellStyle name="Total 3" xfId="235" xr:uid="{00000000-0005-0000-0000-00006A030000}"/>
    <cellStyle name="Total 3 2" xfId="3377" xr:uid="{5D2B5F47-9080-49AC-BBA9-2F027F241805}"/>
    <cellStyle name="Total 4" xfId="281" xr:uid="{00000000-0005-0000-0000-00006B030000}"/>
    <cellStyle name="Total 4 2" xfId="3384" xr:uid="{A82AC5A3-40FE-4084-827E-98A774AFC015}"/>
    <cellStyle name="Total 5" xfId="330" xr:uid="{00000000-0005-0000-0000-00006C030000}"/>
    <cellStyle name="Total 5 2" xfId="3393" xr:uid="{85C14A04-FB92-4CEE-9044-8C239D082C5F}"/>
    <cellStyle name="Total 6" xfId="394" xr:uid="{00000000-0005-0000-0000-00006D030000}"/>
    <cellStyle name="Total 6 2" xfId="3416" xr:uid="{74B17500-BD18-4A7F-913D-95E1C05178AB}"/>
    <cellStyle name="Total 7" xfId="465" xr:uid="{00000000-0005-0000-0000-00006E030000}"/>
    <cellStyle name="Total 7 2" xfId="3447" xr:uid="{954AC2C2-645F-445D-B243-FF8A352B395D}"/>
    <cellStyle name="Total 8" xfId="569" xr:uid="{00000000-0005-0000-0000-00006F030000}"/>
    <cellStyle name="Total 8 2" xfId="3505" xr:uid="{EE3D9FF1-F417-4123-938B-4DFF45DA82C4}"/>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refreshError="1"/>
      <sheetData sheetId="1" refreshError="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393" customFormat="1" ht="39.5" thickBot="1">
      <c r="A1" s="394" t="s">
        <v>0</v>
      </c>
      <c r="B1" s="394" t="s">
        <v>1</v>
      </c>
      <c r="C1" s="394" t="s">
        <v>2</v>
      </c>
      <c r="D1" s="394" t="s">
        <v>3</v>
      </c>
      <c r="E1" s="395" t="s">
        <v>4</v>
      </c>
      <c r="F1" s="396" t="s">
        <v>5</v>
      </c>
      <c r="G1" s="397" t="s">
        <v>6</v>
      </c>
      <c r="H1" s="398" t="s">
        <v>7</v>
      </c>
    </row>
    <row r="2" spans="1:8" ht="15.5" thickTop="1" thickBot="1">
      <c r="A2" s="403">
        <v>0</v>
      </c>
      <c r="B2" s="85" t="s">
        <v>8</v>
      </c>
      <c r="C2" s="404"/>
      <c r="D2" s="394" t="s">
        <v>9</v>
      </c>
      <c r="E2" s="399">
        <v>1</v>
      </c>
      <c r="F2" s="400" t="s">
        <v>10</v>
      </c>
      <c r="G2"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5.5" thickTop="1" thickBot="1">
      <c r="A3" s="391">
        <v>1</v>
      </c>
      <c r="B3" s="388" t="s">
        <v>11</v>
      </c>
      <c r="C3" s="404"/>
      <c r="D3" s="389" t="s">
        <v>9</v>
      </c>
      <c r="E3" s="399">
        <v>1</v>
      </c>
      <c r="F3" s="400" t="s">
        <v>10</v>
      </c>
      <c r="G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5.5" thickTop="1" thickBot="1">
      <c r="A4" s="391">
        <v>2</v>
      </c>
      <c r="B4" s="388" t="s">
        <v>12</v>
      </c>
      <c r="C4" s="404" t="s">
        <v>13</v>
      </c>
      <c r="D4" s="389" t="s">
        <v>9</v>
      </c>
      <c r="E4" s="399">
        <v>1</v>
      </c>
      <c r="F4" s="400" t="s">
        <v>10</v>
      </c>
      <c r="G4"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5.5" thickTop="1" thickBot="1">
      <c r="A5" s="391">
        <v>3</v>
      </c>
      <c r="B5" s="388" t="s">
        <v>14</v>
      </c>
      <c r="C5" s="404"/>
      <c r="D5" s="389" t="s">
        <v>9</v>
      </c>
      <c r="E5" s="399">
        <v>1</v>
      </c>
      <c r="F5" s="400" t="s">
        <v>10</v>
      </c>
      <c r="G5"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5.5" thickTop="1" thickBot="1">
      <c r="A6" s="391">
        <v>4</v>
      </c>
      <c r="B6" s="388" t="s">
        <v>15</v>
      </c>
      <c r="C6" s="404" t="s">
        <v>16</v>
      </c>
      <c r="D6" s="389" t="s">
        <v>9</v>
      </c>
      <c r="E6" s="399">
        <v>1</v>
      </c>
      <c r="F6" s="400" t="s">
        <v>10</v>
      </c>
      <c r="G6" s="39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0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5.5" thickTop="1" thickBot="1">
      <c r="A7" s="391">
        <v>5</v>
      </c>
      <c r="B7" s="389" t="s">
        <v>17</v>
      </c>
      <c r="C7" s="404" t="s">
        <v>18</v>
      </c>
      <c r="D7" s="389" t="s">
        <v>19</v>
      </c>
      <c r="E7" s="399">
        <v>1</v>
      </c>
      <c r="F7" s="400" t="s">
        <v>10</v>
      </c>
      <c r="G7"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5.5" thickTop="1" thickBot="1">
      <c r="A8" s="391">
        <v>6</v>
      </c>
      <c r="B8" s="389" t="s">
        <v>20</v>
      </c>
      <c r="C8" s="404" t="s">
        <v>18</v>
      </c>
      <c r="D8" s="389" t="s">
        <v>9</v>
      </c>
      <c r="E8" s="399">
        <v>1</v>
      </c>
      <c r="F8" s="400" t="s">
        <v>10</v>
      </c>
      <c r="G8"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5.5" thickTop="1" thickBot="1">
      <c r="A9" s="391">
        <v>7</v>
      </c>
      <c r="B9" s="389" t="s">
        <v>21</v>
      </c>
      <c r="C9" s="404" t="s">
        <v>22</v>
      </c>
      <c r="D9" s="389" t="s">
        <v>19</v>
      </c>
      <c r="E9" s="399">
        <v>1</v>
      </c>
      <c r="F9" s="400" t="s">
        <v>10</v>
      </c>
      <c r="G9"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5.5" thickTop="1" thickBot="1">
      <c r="A10" s="391">
        <v>8</v>
      </c>
      <c r="B10" s="389" t="s">
        <v>23</v>
      </c>
      <c r="C10" s="404" t="s">
        <v>22</v>
      </c>
      <c r="D10" s="389" t="s">
        <v>9</v>
      </c>
      <c r="E10" s="399">
        <v>1</v>
      </c>
      <c r="F10" s="400" t="s">
        <v>10</v>
      </c>
      <c r="G10"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5.5" thickTop="1" thickBot="1">
      <c r="A11" s="391">
        <v>9</v>
      </c>
      <c r="B11" s="389" t="s">
        <v>24</v>
      </c>
      <c r="C11" s="404"/>
      <c r="D11" s="389" t="s">
        <v>9</v>
      </c>
      <c r="E11" s="399">
        <v>1</v>
      </c>
      <c r="F11" s="400" t="s">
        <v>10</v>
      </c>
      <c r="G11"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5.5" thickTop="1" thickBot="1">
      <c r="A12" s="391">
        <v>10</v>
      </c>
      <c r="B12" s="389" t="s">
        <v>25</v>
      </c>
      <c r="C12" s="404"/>
      <c r="D12" s="389" t="s">
        <v>9</v>
      </c>
      <c r="E12" s="399">
        <v>1</v>
      </c>
      <c r="F12" s="400" t="s">
        <v>10</v>
      </c>
      <c r="G12"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391">
        <v>11</v>
      </c>
      <c r="B13" s="389" t="s">
        <v>26</v>
      </c>
      <c r="C13" s="404"/>
      <c r="D13" s="389" t="s">
        <v>9</v>
      </c>
      <c r="E13" s="399">
        <v>1</v>
      </c>
      <c r="F13" s="400" t="s">
        <v>10</v>
      </c>
      <c r="G13"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3"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1.11812</v>
      </c>
    </row>
    <row r="14" spans="1:8" ht="13.5" thickTop="1" thickBot="1">
      <c r="A14" s="391">
        <v>12</v>
      </c>
      <c r="B14" s="388" t="s">
        <v>27</v>
      </c>
      <c r="C14" s="388"/>
      <c r="D14" s="389" t="s">
        <v>19</v>
      </c>
      <c r="E14" s="399">
        <v>1</v>
      </c>
      <c r="F14" s="400" t="s">
        <v>10</v>
      </c>
      <c r="G14" s="39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4" s="40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0.68663677264004952</v>
      </c>
    </row>
    <row r="15" spans="1:8" ht="15.5" thickTop="1" thickBot="1">
      <c r="A15" s="403">
        <v>0</v>
      </c>
      <c r="B15" s="85" t="s">
        <v>8</v>
      </c>
      <c r="C15" s="404"/>
      <c r="D15" s="394" t="s">
        <v>9</v>
      </c>
      <c r="E15" s="399">
        <v>2</v>
      </c>
      <c r="F15" s="400" t="s">
        <v>28</v>
      </c>
      <c r="G15"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5.5" thickTop="1" thickBot="1">
      <c r="A16" s="391">
        <v>1</v>
      </c>
      <c r="B16" s="389" t="s">
        <v>11</v>
      </c>
      <c r="C16" s="404"/>
      <c r="D16" s="389" t="s">
        <v>9</v>
      </c>
      <c r="E16" s="392">
        <v>2</v>
      </c>
      <c r="F16" s="401" t="s">
        <v>28</v>
      </c>
      <c r="G1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5.5" thickTop="1" thickBot="1">
      <c r="A17" s="391">
        <v>2</v>
      </c>
      <c r="B17" s="389" t="s">
        <v>12</v>
      </c>
      <c r="C17" s="404" t="s">
        <v>13</v>
      </c>
      <c r="D17" s="389" t="s">
        <v>9</v>
      </c>
      <c r="E17" s="392">
        <v>2</v>
      </c>
      <c r="F17" s="401" t="s">
        <v>28</v>
      </c>
      <c r="G17"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5.5" thickTop="1" thickBot="1">
      <c r="A18" s="391">
        <v>3</v>
      </c>
      <c r="B18" s="389" t="s">
        <v>14</v>
      </c>
      <c r="C18" s="404"/>
      <c r="D18" s="389" t="s">
        <v>9</v>
      </c>
      <c r="E18" s="392">
        <v>2</v>
      </c>
      <c r="F18" s="401" t="s">
        <v>28</v>
      </c>
      <c r="G18"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5.5" thickTop="1" thickBot="1">
      <c r="A19" s="391">
        <v>4</v>
      </c>
      <c r="B19" s="389" t="s">
        <v>15</v>
      </c>
      <c r="C19" s="404" t="s">
        <v>16</v>
      </c>
      <c r="D19" s="389" t="s">
        <v>9</v>
      </c>
      <c r="E19" s="392">
        <v>2</v>
      </c>
      <c r="F19" s="401" t="s">
        <v>28</v>
      </c>
      <c r="G19" s="39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0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5.5" thickTop="1" thickBot="1">
      <c r="A20" s="391">
        <v>5</v>
      </c>
      <c r="B20" s="389" t="s">
        <v>17</v>
      </c>
      <c r="C20" s="404" t="s">
        <v>18</v>
      </c>
      <c r="D20" s="389" t="s">
        <v>19</v>
      </c>
      <c r="E20" s="392">
        <v>2</v>
      </c>
      <c r="F20" s="401" t="s">
        <v>28</v>
      </c>
      <c r="G20"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5.5" thickTop="1" thickBot="1">
      <c r="A21" s="391">
        <v>6</v>
      </c>
      <c r="B21" s="389" t="s">
        <v>20</v>
      </c>
      <c r="C21" s="404" t="s">
        <v>18</v>
      </c>
      <c r="D21" s="389" t="s">
        <v>9</v>
      </c>
      <c r="E21" s="392">
        <v>2</v>
      </c>
      <c r="F21" s="401" t="s">
        <v>28</v>
      </c>
      <c r="G21"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5.5" thickTop="1" thickBot="1">
      <c r="A22" s="391">
        <v>7</v>
      </c>
      <c r="B22" s="389" t="s">
        <v>21</v>
      </c>
      <c r="C22" s="404" t="s">
        <v>22</v>
      </c>
      <c r="D22" s="389" t="s">
        <v>19</v>
      </c>
      <c r="E22" s="392">
        <v>2</v>
      </c>
      <c r="F22" s="401" t="s">
        <v>28</v>
      </c>
      <c r="G22"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5.5" thickTop="1" thickBot="1">
      <c r="A23" s="391">
        <v>8</v>
      </c>
      <c r="B23" s="389" t="s">
        <v>23</v>
      </c>
      <c r="C23" s="404" t="s">
        <v>22</v>
      </c>
      <c r="D23" s="389" t="s">
        <v>9</v>
      </c>
      <c r="E23" s="392">
        <v>2</v>
      </c>
      <c r="F23" s="401" t="s">
        <v>28</v>
      </c>
      <c r="G23"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5.5" thickTop="1" thickBot="1">
      <c r="A24" s="391">
        <v>9</v>
      </c>
      <c r="B24" s="389" t="s">
        <v>24</v>
      </c>
      <c r="C24" s="404"/>
      <c r="D24" s="389" t="s">
        <v>9</v>
      </c>
      <c r="E24" s="392">
        <v>2</v>
      </c>
      <c r="F24" s="401" t="s">
        <v>28</v>
      </c>
      <c r="G24"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5.5" thickTop="1" thickBot="1">
      <c r="A25" s="391">
        <v>10</v>
      </c>
      <c r="B25" s="389" t="s">
        <v>25</v>
      </c>
      <c r="C25" s="404"/>
      <c r="D25" s="389" t="s">
        <v>9</v>
      </c>
      <c r="E25" s="392">
        <v>2</v>
      </c>
      <c r="F25" s="401" t="s">
        <v>28</v>
      </c>
      <c r="G25"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5.5" thickTop="1" thickBot="1">
      <c r="A26" s="391">
        <v>11</v>
      </c>
      <c r="B26" s="389" t="s">
        <v>26</v>
      </c>
      <c r="C26" s="404"/>
      <c r="D26" s="389" t="s">
        <v>9</v>
      </c>
      <c r="E26" s="392">
        <v>2</v>
      </c>
      <c r="F26" s="401" t="s">
        <v>28</v>
      </c>
      <c r="G26"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6"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1.1173900000000001</v>
      </c>
    </row>
    <row r="27" spans="1:8" ht="13.5" thickTop="1" thickBot="1">
      <c r="A27" s="391">
        <v>12</v>
      </c>
      <c r="B27" s="389" t="s">
        <v>27</v>
      </c>
      <c r="C27" s="388"/>
      <c r="D27" s="389" t="s">
        <v>19</v>
      </c>
      <c r="E27" s="392">
        <v>2</v>
      </c>
      <c r="F27" s="401" t="s">
        <v>28</v>
      </c>
      <c r="G27" s="39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7" s="40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0.63577350297570234</v>
      </c>
    </row>
    <row r="28" spans="1:8" ht="15.5" thickTop="1" thickBot="1">
      <c r="A28" s="403">
        <v>0</v>
      </c>
      <c r="B28" s="85" t="s">
        <v>8</v>
      </c>
      <c r="C28" s="404"/>
      <c r="D28" s="394" t="s">
        <v>9</v>
      </c>
      <c r="E28" s="399">
        <v>3</v>
      </c>
      <c r="F28" s="400" t="s">
        <v>29</v>
      </c>
      <c r="G28"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0.61670471191406251</v>
      </c>
    </row>
    <row r="29" spans="1:8" ht="15.5" thickTop="1" thickBot="1">
      <c r="A29" s="391">
        <v>1</v>
      </c>
      <c r="B29" s="389" t="s">
        <v>11</v>
      </c>
      <c r="C29" s="404"/>
      <c r="D29" s="389" t="s">
        <v>9</v>
      </c>
      <c r="E29" s="392">
        <v>3</v>
      </c>
      <c r="F29" s="401" t="s">
        <v>29</v>
      </c>
      <c r="G2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13616</v>
      </c>
      <c r="H2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5.5" thickTop="1" thickBot="1">
      <c r="A30" s="391">
        <v>2</v>
      </c>
      <c r="B30" s="389" t="s">
        <v>12</v>
      </c>
      <c r="C30" s="404" t="s">
        <v>13</v>
      </c>
      <c r="D30" s="389" t="s">
        <v>9</v>
      </c>
      <c r="E30" s="392">
        <v>3</v>
      </c>
      <c r="F30" s="401" t="s">
        <v>29</v>
      </c>
      <c r="G3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5.5" thickTop="1" thickBot="1">
      <c r="A31" s="391">
        <v>3</v>
      </c>
      <c r="B31" s="389" t="s">
        <v>14</v>
      </c>
      <c r="C31" s="404"/>
      <c r="D31" s="389" t="s">
        <v>9</v>
      </c>
      <c r="E31" s="392">
        <v>3</v>
      </c>
      <c r="F31" s="401" t="s">
        <v>29</v>
      </c>
      <c r="G31"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5.5" thickTop="1" thickBot="1">
      <c r="A32" s="391">
        <v>4</v>
      </c>
      <c r="B32" s="389" t="s">
        <v>15</v>
      </c>
      <c r="C32" s="404" t="s">
        <v>16</v>
      </c>
      <c r="D32" s="389" t="s">
        <v>9</v>
      </c>
      <c r="E32" s="392">
        <v>3</v>
      </c>
      <c r="F32" s="401" t="s">
        <v>29</v>
      </c>
      <c r="G32"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0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5.5" thickTop="1" thickBot="1">
      <c r="A33" s="391">
        <v>5</v>
      </c>
      <c r="B33" s="389" t="s">
        <v>17</v>
      </c>
      <c r="C33" s="404" t="s">
        <v>18</v>
      </c>
      <c r="D33" s="389" t="s">
        <v>19</v>
      </c>
      <c r="E33" s="392">
        <v>3</v>
      </c>
      <c r="F33" s="401" t="s">
        <v>29</v>
      </c>
      <c r="G3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17050</v>
      </c>
      <c r="H33"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5.5" thickTop="1" thickBot="1">
      <c r="A34" s="391">
        <v>6</v>
      </c>
      <c r="B34" s="389" t="s">
        <v>20</v>
      </c>
      <c r="C34" s="404" t="s">
        <v>18</v>
      </c>
      <c r="D34" s="389" t="s">
        <v>9</v>
      </c>
      <c r="E34" s="392">
        <v>3</v>
      </c>
      <c r="F34" s="401" t="s">
        <v>29</v>
      </c>
      <c r="G3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268</v>
      </c>
      <c r="H34"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5.5" thickTop="1" thickBot="1">
      <c r="A35" s="391">
        <v>7</v>
      </c>
      <c r="B35" s="389" t="s">
        <v>21</v>
      </c>
      <c r="C35" s="404" t="s">
        <v>22</v>
      </c>
      <c r="D35" s="389" t="s">
        <v>19</v>
      </c>
      <c r="E35" s="392">
        <v>3</v>
      </c>
      <c r="F35" s="401" t="s">
        <v>29</v>
      </c>
      <c r="G3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10091</v>
      </c>
      <c r="H35"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5.5" thickTop="1" thickBot="1">
      <c r="A36" s="391">
        <v>8</v>
      </c>
      <c r="B36" s="389" t="s">
        <v>23</v>
      </c>
      <c r="C36" s="404" t="s">
        <v>22</v>
      </c>
      <c r="D36" s="389" t="s">
        <v>9</v>
      </c>
      <c r="E36" s="392">
        <v>3</v>
      </c>
      <c r="F36" s="401" t="s">
        <v>29</v>
      </c>
      <c r="G3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2627</v>
      </c>
      <c r="H36"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5.5" thickTop="1" thickBot="1">
      <c r="A37" s="391">
        <v>9</v>
      </c>
      <c r="B37" s="389" t="s">
        <v>24</v>
      </c>
      <c r="C37" s="404"/>
      <c r="D37" s="389" t="s">
        <v>9</v>
      </c>
      <c r="E37" s="392">
        <v>3</v>
      </c>
      <c r="F37" s="401" t="s">
        <v>29</v>
      </c>
      <c r="G3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5.5" thickTop="1" thickBot="1">
      <c r="A38" s="391">
        <v>10</v>
      </c>
      <c r="B38" s="389" t="s">
        <v>25</v>
      </c>
      <c r="C38" s="404"/>
      <c r="D38" s="389" t="s">
        <v>9</v>
      </c>
      <c r="E38" s="392">
        <v>3</v>
      </c>
      <c r="F38" s="401" t="s">
        <v>29</v>
      </c>
      <c r="G3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5.5" thickTop="1" thickBot="1">
      <c r="A39" s="391">
        <v>11</v>
      </c>
      <c r="B39" s="389" t="s">
        <v>26</v>
      </c>
      <c r="C39" s="404"/>
      <c r="D39" s="389" t="s">
        <v>9</v>
      </c>
      <c r="E39" s="392">
        <v>3</v>
      </c>
      <c r="F39" s="401" t="s">
        <v>29</v>
      </c>
      <c r="G39"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111470</v>
      </c>
      <c r="H39"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1.1604781531494454E-2</v>
      </c>
    </row>
    <row r="40" spans="1:8" ht="13.5" thickTop="1" thickBot="1">
      <c r="A40" s="391">
        <v>12</v>
      </c>
      <c r="B40" s="389" t="s">
        <v>27</v>
      </c>
      <c r="C40" s="388"/>
      <c r="D40" s="389" t="s">
        <v>19</v>
      </c>
      <c r="E40" s="392">
        <v>3</v>
      </c>
      <c r="F40" s="401" t="s">
        <v>29</v>
      </c>
      <c r="G40"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19323</v>
      </c>
      <c r="H40" s="40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0.81720589716985104</v>
      </c>
    </row>
    <row r="41" spans="1:8" ht="15.5" thickTop="1" thickBot="1">
      <c r="A41" s="403">
        <v>0</v>
      </c>
      <c r="B41" s="85" t="s">
        <v>8</v>
      </c>
      <c r="C41" s="404"/>
      <c r="D41" s="394" t="s">
        <v>9</v>
      </c>
      <c r="E41" s="399">
        <v>4</v>
      </c>
      <c r="F41" s="400" t="s">
        <v>30</v>
      </c>
      <c r="G41"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2</v>
      </c>
      <c r="H41"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0.28272567749023436</v>
      </c>
    </row>
    <row r="42" spans="1:8" ht="15.5" thickTop="1" thickBot="1">
      <c r="A42" s="391">
        <v>1</v>
      </c>
      <c r="B42" s="389" t="s">
        <v>11</v>
      </c>
      <c r="C42" s="404"/>
      <c r="D42" s="389" t="s">
        <v>9</v>
      </c>
      <c r="E42" s="392">
        <v>4</v>
      </c>
      <c r="F42" s="401" t="s">
        <v>30</v>
      </c>
      <c r="G4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14076</v>
      </c>
      <c r="H4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5.5" thickTop="1" thickBot="1">
      <c r="A43" s="391">
        <v>2</v>
      </c>
      <c r="B43" s="389" t="s">
        <v>12</v>
      </c>
      <c r="C43" s="404" t="s">
        <v>13</v>
      </c>
      <c r="D43" s="389" t="s">
        <v>9</v>
      </c>
      <c r="E43" s="392">
        <v>4</v>
      </c>
      <c r="F43" s="401" t="s">
        <v>30</v>
      </c>
      <c r="G4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5.5" thickTop="1" thickBot="1">
      <c r="A44" s="391">
        <v>3</v>
      </c>
      <c r="B44" s="389" t="s">
        <v>14</v>
      </c>
      <c r="C44" s="404"/>
      <c r="D44" s="389" t="s">
        <v>9</v>
      </c>
      <c r="E44" s="392">
        <v>4</v>
      </c>
      <c r="F44" s="401" t="s">
        <v>30</v>
      </c>
      <c r="G44"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5.5" thickTop="1" thickBot="1">
      <c r="A45" s="391">
        <v>4</v>
      </c>
      <c r="B45" s="389" t="s">
        <v>15</v>
      </c>
      <c r="C45" s="404" t="s">
        <v>16</v>
      </c>
      <c r="D45" s="389" t="s">
        <v>9</v>
      </c>
      <c r="E45" s="392">
        <v>4</v>
      </c>
      <c r="F45" s="401" t="s">
        <v>30</v>
      </c>
      <c r="G45"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0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5.5" thickTop="1" thickBot="1">
      <c r="A46" s="391">
        <v>5</v>
      </c>
      <c r="B46" s="389" t="s">
        <v>17</v>
      </c>
      <c r="C46" s="404" t="s">
        <v>18</v>
      </c>
      <c r="D46" s="389" t="s">
        <v>19</v>
      </c>
      <c r="E46" s="392">
        <v>4</v>
      </c>
      <c r="F46" s="401" t="s">
        <v>30</v>
      </c>
      <c r="G4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17283</v>
      </c>
      <c r="H46"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0.63219965072348705</v>
      </c>
    </row>
    <row r="47" spans="1:8" ht="15.5" thickTop="1" thickBot="1">
      <c r="A47" s="391">
        <v>6</v>
      </c>
      <c r="B47" s="389" t="s">
        <v>20</v>
      </c>
      <c r="C47" s="404" t="s">
        <v>18</v>
      </c>
      <c r="D47" s="389" t="s">
        <v>9</v>
      </c>
      <c r="E47" s="392">
        <v>4</v>
      </c>
      <c r="F47" s="401" t="s">
        <v>30</v>
      </c>
      <c r="G4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268</v>
      </c>
      <c r="H47"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9.207833182811738E-2</v>
      </c>
    </row>
    <row r="48" spans="1:8" ht="15.5" thickTop="1" thickBot="1">
      <c r="A48" s="391">
        <v>7</v>
      </c>
      <c r="B48" s="389" t="s">
        <v>21</v>
      </c>
      <c r="C48" s="404" t="s">
        <v>22</v>
      </c>
      <c r="D48" s="389" t="s">
        <v>19</v>
      </c>
      <c r="E48" s="392">
        <v>4</v>
      </c>
      <c r="F48" s="401" t="s">
        <v>30</v>
      </c>
      <c r="G4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9815</v>
      </c>
      <c r="H48"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0.27112955999999999</v>
      </c>
    </row>
    <row r="49" spans="1:8" ht="15.5" thickTop="1" thickBot="1">
      <c r="A49" s="391">
        <v>8</v>
      </c>
      <c r="B49" s="389" t="s">
        <v>23</v>
      </c>
      <c r="C49" s="404" t="s">
        <v>22</v>
      </c>
      <c r="D49" s="389" t="s">
        <v>9</v>
      </c>
      <c r="E49" s="392">
        <v>4</v>
      </c>
      <c r="F49" s="401" t="s">
        <v>30</v>
      </c>
      <c r="G4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2774</v>
      </c>
      <c r="H49"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0.15616732319999999</v>
      </c>
    </row>
    <row r="50" spans="1:8" ht="15.5" thickTop="1" thickBot="1">
      <c r="A50" s="391">
        <v>9</v>
      </c>
      <c r="B50" s="389" t="s">
        <v>24</v>
      </c>
      <c r="C50" s="404"/>
      <c r="D50" s="389" t="s">
        <v>9</v>
      </c>
      <c r="E50" s="392">
        <v>4</v>
      </c>
      <c r="F50" s="401" t="s">
        <v>30</v>
      </c>
      <c r="G5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5.5" thickTop="1" thickBot="1">
      <c r="A51" s="391">
        <v>10</v>
      </c>
      <c r="B51" s="389" t="s">
        <v>25</v>
      </c>
      <c r="C51" s="404"/>
      <c r="D51" s="389" t="s">
        <v>9</v>
      </c>
      <c r="E51" s="392">
        <v>4</v>
      </c>
      <c r="F51" s="401" t="s">
        <v>30</v>
      </c>
      <c r="G5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5.5" thickTop="1" thickBot="1">
      <c r="A52" s="391">
        <v>11</v>
      </c>
      <c r="B52" s="389" t="s">
        <v>26</v>
      </c>
      <c r="C52" s="404"/>
      <c r="D52" s="389" t="s">
        <v>9</v>
      </c>
      <c r="E52" s="392">
        <v>4</v>
      </c>
      <c r="F52" s="401" t="s">
        <v>30</v>
      </c>
      <c r="G52"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112449</v>
      </c>
      <c r="H52"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8.2588858593487885E-2</v>
      </c>
    </row>
    <row r="53" spans="1:8" ht="13.5" thickTop="1" thickBot="1">
      <c r="A53" s="391">
        <v>12</v>
      </c>
      <c r="B53" s="389" t="s">
        <v>27</v>
      </c>
      <c r="C53" s="388"/>
      <c r="D53" s="389" t="s">
        <v>19</v>
      </c>
      <c r="E53" s="392">
        <v>4</v>
      </c>
      <c r="F53" s="401" t="s">
        <v>30</v>
      </c>
      <c r="G53"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16109</v>
      </c>
      <c r="H53" s="40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0.74185605258546561</v>
      </c>
    </row>
    <row r="54" spans="1:8" ht="15.5" thickTop="1" thickBot="1">
      <c r="A54" s="403">
        <v>0</v>
      </c>
      <c r="B54" s="85" t="s">
        <v>8</v>
      </c>
      <c r="C54" s="404"/>
      <c r="D54" s="394" t="s">
        <v>9</v>
      </c>
      <c r="E54" s="399">
        <v>5</v>
      </c>
      <c r="F54" s="400" t="s">
        <v>31</v>
      </c>
      <c r="G54"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2</v>
      </c>
      <c r="H54"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0.27460052490234377</v>
      </c>
    </row>
    <row r="55" spans="1:8" ht="15.5" thickTop="1" thickBot="1">
      <c r="A55" s="391">
        <v>1</v>
      </c>
      <c r="B55" s="389" t="s">
        <v>11</v>
      </c>
      <c r="C55" s="404"/>
      <c r="D55" s="389" t="s">
        <v>9</v>
      </c>
      <c r="E55" s="392">
        <v>5</v>
      </c>
      <c r="F55" s="401" t="s">
        <v>31</v>
      </c>
      <c r="G5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13310</v>
      </c>
      <c r="H5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5.5" thickTop="1" thickBot="1">
      <c r="A56" s="391">
        <v>2</v>
      </c>
      <c r="B56" s="389" t="s">
        <v>12</v>
      </c>
      <c r="C56" s="404" t="s">
        <v>13</v>
      </c>
      <c r="D56" s="389" t="s">
        <v>9</v>
      </c>
      <c r="E56" s="392">
        <v>5</v>
      </c>
      <c r="F56" s="401" t="s">
        <v>31</v>
      </c>
      <c r="G5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5.5" thickTop="1" thickBot="1">
      <c r="A57" s="391">
        <v>3</v>
      </c>
      <c r="B57" s="389" t="s">
        <v>14</v>
      </c>
      <c r="C57" s="404"/>
      <c r="D57" s="389" t="s">
        <v>9</v>
      </c>
      <c r="E57" s="392">
        <v>5</v>
      </c>
      <c r="F57" s="401" t="s">
        <v>31</v>
      </c>
      <c r="G57"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5.5" thickTop="1" thickBot="1">
      <c r="A58" s="391">
        <v>4</v>
      </c>
      <c r="B58" s="389" t="s">
        <v>15</v>
      </c>
      <c r="C58" s="404" t="s">
        <v>16</v>
      </c>
      <c r="D58" s="389" t="s">
        <v>9</v>
      </c>
      <c r="E58" s="392">
        <v>5</v>
      </c>
      <c r="F58" s="401" t="s">
        <v>31</v>
      </c>
      <c r="G58"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0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5.5" thickTop="1" thickBot="1">
      <c r="A59" s="391">
        <v>5</v>
      </c>
      <c r="B59" s="389" t="s">
        <v>17</v>
      </c>
      <c r="C59" s="404" t="s">
        <v>18</v>
      </c>
      <c r="D59" s="389" t="s">
        <v>19</v>
      </c>
      <c r="E59" s="392">
        <v>5</v>
      </c>
      <c r="F59" s="401" t="s">
        <v>31</v>
      </c>
      <c r="G5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17130</v>
      </c>
      <c r="H59"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1.3920932315289973</v>
      </c>
    </row>
    <row r="60" spans="1:8" ht="15.5" thickTop="1" thickBot="1">
      <c r="A60" s="391">
        <v>6</v>
      </c>
      <c r="B60" s="389" t="s">
        <v>20</v>
      </c>
      <c r="C60" s="404" t="s">
        <v>18</v>
      </c>
      <c r="D60" s="389" t="s">
        <v>9</v>
      </c>
      <c r="E60" s="392">
        <v>5</v>
      </c>
      <c r="F60" s="401" t="s">
        <v>31</v>
      </c>
      <c r="G6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256</v>
      </c>
      <c r="H60"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0.23586849975585938</v>
      </c>
    </row>
    <row r="61" spans="1:8" ht="15.5" thickTop="1" thickBot="1">
      <c r="A61" s="391">
        <v>7</v>
      </c>
      <c r="B61" s="389" t="s">
        <v>21</v>
      </c>
      <c r="C61" s="404" t="s">
        <v>22</v>
      </c>
      <c r="D61" s="389" t="s">
        <v>19</v>
      </c>
      <c r="E61" s="392">
        <v>5</v>
      </c>
      <c r="F61" s="401" t="s">
        <v>31</v>
      </c>
      <c r="G6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9593</v>
      </c>
      <c r="H61"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0.55346429780000006</v>
      </c>
    </row>
    <row r="62" spans="1:8" ht="15.5" thickTop="1" thickBot="1">
      <c r="A62" s="391">
        <v>8</v>
      </c>
      <c r="B62" s="389" t="s">
        <v>23</v>
      </c>
      <c r="C62" s="404" t="s">
        <v>22</v>
      </c>
      <c r="D62" s="389" t="s">
        <v>9</v>
      </c>
      <c r="E62" s="392">
        <v>5</v>
      </c>
      <c r="F62" s="401" t="s">
        <v>31</v>
      </c>
      <c r="G6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2705</v>
      </c>
      <c r="H62"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0.1742817975</v>
      </c>
    </row>
    <row r="63" spans="1:8" ht="15.5" thickTop="1" thickBot="1">
      <c r="A63" s="391">
        <v>9</v>
      </c>
      <c r="B63" s="389" t="s">
        <v>24</v>
      </c>
      <c r="C63" s="404"/>
      <c r="D63" s="389" t="s">
        <v>9</v>
      </c>
      <c r="E63" s="392">
        <v>5</v>
      </c>
      <c r="F63" s="401" t="s">
        <v>31</v>
      </c>
      <c r="G6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41</v>
      </c>
      <c r="H63"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0.48483278999999996</v>
      </c>
    </row>
    <row r="64" spans="1:8" ht="15.5" thickTop="1" thickBot="1">
      <c r="A64" s="391">
        <v>10</v>
      </c>
      <c r="B64" s="389" t="s">
        <v>25</v>
      </c>
      <c r="C64" s="404"/>
      <c r="D64" s="389" t="s">
        <v>9</v>
      </c>
      <c r="E64" s="392">
        <v>5</v>
      </c>
      <c r="F64" s="401" t="s">
        <v>31</v>
      </c>
      <c r="G6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134</v>
      </c>
      <c r="H64"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1.214125358</v>
      </c>
    </row>
    <row r="65" spans="1:8" ht="15.5" thickTop="1" thickBot="1">
      <c r="A65" s="391">
        <v>11</v>
      </c>
      <c r="B65" s="389" t="s">
        <v>26</v>
      </c>
      <c r="C65" s="404"/>
      <c r="D65" s="389" t="s">
        <v>9</v>
      </c>
      <c r="E65" s="392">
        <v>5</v>
      </c>
      <c r="F65" s="401" t="s">
        <v>31</v>
      </c>
      <c r="G65"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106176</v>
      </c>
      <c r="H65"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0.14518625372857208</v>
      </c>
    </row>
    <row r="66" spans="1:8" ht="13.5" thickTop="1" thickBot="1">
      <c r="A66" s="391">
        <v>12</v>
      </c>
      <c r="B66" s="389" t="s">
        <v>27</v>
      </c>
      <c r="C66" s="388"/>
      <c r="D66" s="389" t="s">
        <v>19</v>
      </c>
      <c r="E66" s="392">
        <v>5</v>
      </c>
      <c r="F66" s="401" t="s">
        <v>31</v>
      </c>
      <c r="G66"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19517</v>
      </c>
      <c r="H66" s="40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1.9292683404082556</v>
      </c>
    </row>
    <row r="67" spans="1:8" ht="15.5" thickTop="1" thickBot="1">
      <c r="A67" s="403">
        <v>0</v>
      </c>
      <c r="B67" s="85" t="s">
        <v>8</v>
      </c>
      <c r="C67" s="404"/>
      <c r="D67" s="394" t="s">
        <v>9</v>
      </c>
      <c r="E67" s="399">
        <v>6</v>
      </c>
      <c r="F67" s="400" t="s">
        <v>32</v>
      </c>
      <c r="G67"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1</v>
      </c>
      <c r="H67"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0.16708448791503908</v>
      </c>
    </row>
    <row r="68" spans="1:8" ht="15.5" thickTop="1" thickBot="1">
      <c r="A68" s="391">
        <v>1</v>
      </c>
      <c r="B68" s="389" t="s">
        <v>11</v>
      </c>
      <c r="C68" s="404"/>
      <c r="D68" s="389" t="s">
        <v>9</v>
      </c>
      <c r="E68" s="392">
        <v>6</v>
      </c>
      <c r="F68" s="401" t="s">
        <v>32</v>
      </c>
      <c r="G6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7017</v>
      </c>
      <c r="H6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5.5" thickTop="1" thickBot="1">
      <c r="A69" s="391">
        <v>2</v>
      </c>
      <c r="B69" s="389" t="s">
        <v>12</v>
      </c>
      <c r="C69" s="404" t="s">
        <v>13</v>
      </c>
      <c r="D69" s="389" t="s">
        <v>9</v>
      </c>
      <c r="E69" s="392">
        <v>6</v>
      </c>
      <c r="F69" s="401" t="s">
        <v>32</v>
      </c>
      <c r="G6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5.5" thickTop="1" thickBot="1">
      <c r="A70" s="391">
        <v>3</v>
      </c>
      <c r="B70" s="389" t="s">
        <v>14</v>
      </c>
      <c r="C70" s="404"/>
      <c r="D70" s="389" t="s">
        <v>9</v>
      </c>
      <c r="E70" s="392">
        <v>6</v>
      </c>
      <c r="F70" s="401" t="s">
        <v>32</v>
      </c>
      <c r="G70"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5.5" thickTop="1" thickBot="1">
      <c r="A71" s="391">
        <v>4</v>
      </c>
      <c r="B71" s="389" t="s">
        <v>15</v>
      </c>
      <c r="C71" s="404" t="s">
        <v>16</v>
      </c>
      <c r="D71" s="389" t="s">
        <v>9</v>
      </c>
      <c r="E71" s="392">
        <v>6</v>
      </c>
      <c r="F71" s="401" t="s">
        <v>32</v>
      </c>
      <c r="G71"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0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5.5" thickTop="1" thickBot="1">
      <c r="A72" s="391">
        <v>5</v>
      </c>
      <c r="B72" s="389" t="s">
        <v>17</v>
      </c>
      <c r="C72" s="404" t="s">
        <v>18</v>
      </c>
      <c r="D72" s="389" t="s">
        <v>19</v>
      </c>
      <c r="E72" s="392">
        <v>6</v>
      </c>
      <c r="F72" s="401" t="s">
        <v>32</v>
      </c>
      <c r="G7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14623</v>
      </c>
      <c r="H72"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0.75110183168202638</v>
      </c>
    </row>
    <row r="73" spans="1:8" ht="15.5" thickTop="1" thickBot="1">
      <c r="A73" s="391">
        <v>6</v>
      </c>
      <c r="B73" s="389" t="s">
        <v>20</v>
      </c>
      <c r="C73" s="404" t="s">
        <v>18</v>
      </c>
      <c r="D73" s="389" t="s">
        <v>9</v>
      </c>
      <c r="E73" s="392">
        <v>6</v>
      </c>
      <c r="F73" s="401" t="s">
        <v>32</v>
      </c>
      <c r="G7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236</v>
      </c>
      <c r="H73"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0.20210570478439333</v>
      </c>
    </row>
    <row r="74" spans="1:8" ht="15.5" thickTop="1" thickBot="1">
      <c r="A74" s="391">
        <v>7</v>
      </c>
      <c r="B74" s="389" t="s">
        <v>21</v>
      </c>
      <c r="C74" s="404" t="s">
        <v>22</v>
      </c>
      <c r="D74" s="389" t="s">
        <v>19</v>
      </c>
      <c r="E74" s="392">
        <v>6</v>
      </c>
      <c r="F74" s="401" t="s">
        <v>32</v>
      </c>
      <c r="G7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9409</v>
      </c>
      <c r="H74"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0.34679127659999998</v>
      </c>
    </row>
    <row r="75" spans="1:8" ht="15.5" thickTop="1" thickBot="1">
      <c r="A75" s="391">
        <v>8</v>
      </c>
      <c r="B75" s="389" t="s">
        <v>23</v>
      </c>
      <c r="C75" s="404" t="s">
        <v>22</v>
      </c>
      <c r="D75" s="389" t="s">
        <v>9</v>
      </c>
      <c r="E75" s="392">
        <v>6</v>
      </c>
      <c r="F75" s="401" t="s">
        <v>32</v>
      </c>
      <c r="G7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2244</v>
      </c>
      <c r="H75"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0.1342089276</v>
      </c>
    </row>
    <row r="76" spans="1:8" ht="15.5" thickTop="1" thickBot="1">
      <c r="A76" s="391">
        <v>9</v>
      </c>
      <c r="B76" s="389" t="s">
        <v>24</v>
      </c>
      <c r="C76" s="404"/>
      <c r="D76" s="389" t="s">
        <v>9</v>
      </c>
      <c r="E76" s="392">
        <v>6</v>
      </c>
      <c r="F76" s="401" t="s">
        <v>32</v>
      </c>
      <c r="G7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49</v>
      </c>
      <c r="H76"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0.57943431000000001</v>
      </c>
    </row>
    <row r="77" spans="1:8" ht="15.5" thickTop="1" thickBot="1">
      <c r="A77" s="391">
        <v>10</v>
      </c>
      <c r="B77" s="389" t="s">
        <v>25</v>
      </c>
      <c r="C77" s="404"/>
      <c r="D77" s="389" t="s">
        <v>9</v>
      </c>
      <c r="E77" s="392">
        <v>6</v>
      </c>
      <c r="F77" s="401" t="s">
        <v>32</v>
      </c>
      <c r="G7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125</v>
      </c>
      <c r="H77"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1.132579625</v>
      </c>
    </row>
    <row r="78" spans="1:8" ht="15.5" thickTop="1" thickBot="1">
      <c r="A78" s="391">
        <v>11</v>
      </c>
      <c r="B78" s="389" t="s">
        <v>26</v>
      </c>
      <c r="C78" s="404"/>
      <c r="D78" s="389" t="s">
        <v>9</v>
      </c>
      <c r="E78" s="392">
        <v>6</v>
      </c>
      <c r="F78" s="401" t="s">
        <v>32</v>
      </c>
      <c r="G78"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105904</v>
      </c>
      <c r="H78"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9.293238217800405E-2</v>
      </c>
    </row>
    <row r="79" spans="1:8" ht="13.5" thickTop="1" thickBot="1">
      <c r="A79" s="391">
        <v>12</v>
      </c>
      <c r="B79" s="389" t="s">
        <v>27</v>
      </c>
      <c r="C79" s="388"/>
      <c r="D79" s="389" t="s">
        <v>19</v>
      </c>
      <c r="E79" s="392">
        <v>6</v>
      </c>
      <c r="F79" s="401" t="s">
        <v>32</v>
      </c>
      <c r="G79"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20395</v>
      </c>
      <c r="H79" s="40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1.5282490066869205</v>
      </c>
    </row>
    <row r="80" spans="1:8" ht="15.5" thickTop="1" thickBot="1">
      <c r="A80" s="403">
        <v>0</v>
      </c>
      <c r="B80" s="85" t="s">
        <v>8</v>
      </c>
      <c r="C80" s="404"/>
      <c r="D80" s="394" t="s">
        <v>9</v>
      </c>
      <c r="E80" s="399">
        <v>7</v>
      </c>
      <c r="F80" s="400" t="s">
        <v>33</v>
      </c>
      <c r="G80" s="39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1</v>
      </c>
      <c r="H80" s="40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0.15948800659179688</v>
      </c>
    </row>
    <row r="81" spans="1:8" ht="15.5" thickTop="1" thickBot="1">
      <c r="A81" s="391">
        <v>1</v>
      </c>
      <c r="B81" s="389" t="s">
        <v>11</v>
      </c>
      <c r="C81" s="404"/>
      <c r="D81" s="389" t="s">
        <v>9</v>
      </c>
      <c r="E81" s="392">
        <v>7</v>
      </c>
      <c r="F81" s="401" t="s">
        <v>33</v>
      </c>
      <c r="G8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5806</v>
      </c>
      <c r="H81" s="402">
        <f>VLOOKUP(BUReporting[[#This Row],[Program]],'Program MW '!$A$34:$S$44,3,FALSE)</f>
        <v>0</v>
      </c>
    </row>
    <row r="82" spans="1:8" ht="15.5" thickTop="1" thickBot="1">
      <c r="A82" s="391">
        <v>2</v>
      </c>
      <c r="B82" s="389" t="s">
        <v>12</v>
      </c>
      <c r="C82" s="404" t="s">
        <v>13</v>
      </c>
      <c r="D82" s="389" t="s">
        <v>9</v>
      </c>
      <c r="E82" s="392">
        <v>7</v>
      </c>
      <c r="F82" s="401" t="s">
        <v>33</v>
      </c>
      <c r="G82"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02" t="e">
        <f>VLOOKUP(BUReporting[[#This Row],[Program]],'Program MW '!$A$34:$S$44,3,FALSE)</f>
        <v>#N/A</v>
      </c>
    </row>
    <row r="83" spans="1:8" ht="15.5" thickTop="1" thickBot="1">
      <c r="A83" s="391">
        <v>3</v>
      </c>
      <c r="B83" s="389" t="s">
        <v>14</v>
      </c>
      <c r="C83" s="404"/>
      <c r="D83" s="389" t="s">
        <v>9</v>
      </c>
      <c r="E83" s="392">
        <v>7</v>
      </c>
      <c r="F83" s="401" t="s">
        <v>33</v>
      </c>
      <c r="G83"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02" t="e">
        <f>VLOOKUP(BUReporting[[#This Row],[Program]],'Program MW '!$A$34:$S$44,3,FALSE)</f>
        <v>#N/A</v>
      </c>
    </row>
    <row r="84" spans="1:8" ht="15.5" thickTop="1" thickBot="1">
      <c r="A84" s="391">
        <v>4</v>
      </c>
      <c r="B84" s="389" t="s">
        <v>15</v>
      </c>
      <c r="C84" s="404" t="s">
        <v>16</v>
      </c>
      <c r="D84" s="389" t="s">
        <v>9</v>
      </c>
      <c r="E84" s="392">
        <v>7</v>
      </c>
      <c r="F84" s="401" t="s">
        <v>33</v>
      </c>
      <c r="G84" s="39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02" t="e">
        <f>VLOOKUP(BUReporting[[#This Row],[Program]],'Program MW '!$A$34:$S$44,3,FALSE)</f>
        <v>#N/A</v>
      </c>
    </row>
    <row r="85" spans="1:8" ht="15.5" thickTop="1" thickBot="1">
      <c r="A85" s="391">
        <v>5</v>
      </c>
      <c r="B85" s="389" t="s">
        <v>17</v>
      </c>
      <c r="C85" s="404" t="s">
        <v>18</v>
      </c>
      <c r="D85" s="389" t="s">
        <v>19</v>
      </c>
      <c r="E85" s="392">
        <v>7</v>
      </c>
      <c r="F85" s="401" t="s">
        <v>33</v>
      </c>
      <c r="G85"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14955</v>
      </c>
      <c r="H85" s="402">
        <f>VLOOKUP(BUReporting[[#This Row],[Program]],'Program MW '!$A$34:$S$44,3,FALSE)</f>
        <v>2.4866744115203621</v>
      </c>
    </row>
    <row r="86" spans="1:8" ht="15.5" thickTop="1" thickBot="1">
      <c r="A86" s="391">
        <v>6</v>
      </c>
      <c r="B86" s="389" t="s">
        <v>20</v>
      </c>
      <c r="C86" s="404" t="s">
        <v>18</v>
      </c>
      <c r="D86" s="389" t="s">
        <v>9</v>
      </c>
      <c r="E86" s="392">
        <v>7</v>
      </c>
      <c r="F86" s="401" t="s">
        <v>33</v>
      </c>
      <c r="G86"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249</v>
      </c>
      <c r="H86" s="402">
        <f>VLOOKUP(BUReporting[[#This Row],[Program]],'Program MW '!$A$34:$S$44,3,FALSE)</f>
        <v>0.51758776760101322</v>
      </c>
    </row>
    <row r="87" spans="1:8" ht="15.5" thickTop="1" thickBot="1">
      <c r="A87" s="391">
        <v>7</v>
      </c>
      <c r="B87" s="389" t="s">
        <v>21</v>
      </c>
      <c r="C87" s="404" t="s">
        <v>22</v>
      </c>
      <c r="D87" s="389" t="s">
        <v>19</v>
      </c>
      <c r="E87" s="392">
        <v>7</v>
      </c>
      <c r="F87" s="401" t="s">
        <v>33</v>
      </c>
      <c r="G87"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9340</v>
      </c>
      <c r="H87" s="402">
        <f>VLOOKUP(BUReporting[[#This Row],[Program]],'Program MW '!$A$34:$S$44,3,FALSE)</f>
        <v>1.2445325839999999</v>
      </c>
    </row>
    <row r="88" spans="1:8" ht="15.5" thickTop="1" thickBot="1">
      <c r="A88" s="391">
        <v>8</v>
      </c>
      <c r="B88" s="389" t="s">
        <v>23</v>
      </c>
      <c r="C88" s="404" t="s">
        <v>22</v>
      </c>
      <c r="D88" s="389" t="s">
        <v>9</v>
      </c>
      <c r="E88" s="392">
        <v>7</v>
      </c>
      <c r="F88" s="401" t="s">
        <v>33</v>
      </c>
      <c r="G88"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2705</v>
      </c>
      <c r="H88" s="402">
        <f>VLOOKUP(BUReporting[[#This Row],[Program]],'Program MW '!$A$34:$S$44,3,FALSE)</f>
        <v>0.21937090149999999</v>
      </c>
    </row>
    <row r="89" spans="1:8" ht="15.5" thickTop="1" thickBot="1">
      <c r="A89" s="391">
        <v>9</v>
      </c>
      <c r="B89" s="389" t="s">
        <v>24</v>
      </c>
      <c r="C89" s="404"/>
      <c r="D89" s="389" t="s">
        <v>9</v>
      </c>
      <c r="E89" s="392">
        <v>7</v>
      </c>
      <c r="F89" s="401" t="s">
        <v>33</v>
      </c>
      <c r="G89"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35</v>
      </c>
      <c r="H89" s="402">
        <f>VLOOKUP(BUReporting[[#This Row],[Program]],'Program MW '!$A$34:$S$44,3,FALSE)</f>
        <v>0.41388164999999999</v>
      </c>
    </row>
    <row r="90" spans="1:8" ht="15.5" thickTop="1" thickBot="1">
      <c r="A90" s="391">
        <v>10</v>
      </c>
      <c r="B90" s="389" t="s">
        <v>25</v>
      </c>
      <c r="C90" s="404"/>
      <c r="D90" s="389" t="s">
        <v>9</v>
      </c>
      <c r="E90" s="392">
        <v>7</v>
      </c>
      <c r="F90" s="401" t="s">
        <v>33</v>
      </c>
      <c r="G90"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131</v>
      </c>
      <c r="H90" s="402">
        <f>VLOOKUP(BUReporting[[#This Row],[Program]],'Program MW '!$A$34:$S$44,3,FALSE)</f>
        <v>1.186943447</v>
      </c>
    </row>
    <row r="91" spans="1:8" ht="15.5" thickTop="1" thickBot="1">
      <c r="A91" s="391">
        <v>11</v>
      </c>
      <c r="B91" s="389" t="s">
        <v>26</v>
      </c>
      <c r="C91" s="404"/>
      <c r="D91" s="389" t="s">
        <v>9</v>
      </c>
      <c r="E91" s="392">
        <v>7</v>
      </c>
      <c r="F91" s="401" t="s">
        <v>33</v>
      </c>
      <c r="G91"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62705</v>
      </c>
      <c r="H91" s="402">
        <f>VLOOKUP(BUReporting[[#This Row],[Program]],'Program MW '!$A$34:$S$44,3,FALSE)</f>
        <v>0.13718643118937368</v>
      </c>
    </row>
    <row r="92" spans="1:8" ht="13.5" thickTop="1" thickBot="1">
      <c r="A92" s="391">
        <v>12</v>
      </c>
      <c r="B92" s="389" t="s">
        <v>27</v>
      </c>
      <c r="C92" s="388"/>
      <c r="D92" s="389" t="s">
        <v>19</v>
      </c>
      <c r="E92" s="392">
        <v>7</v>
      </c>
      <c r="F92" s="401" t="s">
        <v>33</v>
      </c>
      <c r="G92" s="39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21149</v>
      </c>
      <c r="H92" s="402">
        <f>VLOOKUP(BUReporting[[#This Row],[Program]],'Program MW '!$A$34:$S$44,3,FALSE)</f>
        <v>1.8182098268599642</v>
      </c>
    </row>
    <row r="93" spans="1:8" ht="15.5" thickTop="1" thickBot="1">
      <c r="A93" s="403">
        <v>0</v>
      </c>
      <c r="B93" s="85" t="s">
        <v>8</v>
      </c>
      <c r="C93" s="404"/>
      <c r="D93" s="394" t="s">
        <v>9</v>
      </c>
      <c r="E93" s="399">
        <v>8</v>
      </c>
      <c r="F93" s="400" t="s">
        <v>34</v>
      </c>
      <c r="G93" s="39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0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5.5" thickTop="1" thickBot="1">
      <c r="A94" s="391">
        <v>1</v>
      </c>
      <c r="B94" s="389" t="s">
        <v>11</v>
      </c>
      <c r="C94" s="404"/>
      <c r="D94" s="389" t="s">
        <v>9</v>
      </c>
      <c r="E94" s="392">
        <v>8</v>
      </c>
      <c r="F94" s="401" t="s">
        <v>34</v>
      </c>
      <c r="G9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02">
        <f>VLOOKUP(BUReporting[[#This Row],[Program]],'Program MW '!$A$34:$S$44,6,FALSE)</f>
        <v>0</v>
      </c>
    </row>
    <row r="95" spans="1:8" ht="15.5" thickTop="1" thickBot="1">
      <c r="A95" s="391">
        <v>2</v>
      </c>
      <c r="B95" s="389" t="s">
        <v>12</v>
      </c>
      <c r="C95" s="404" t="s">
        <v>13</v>
      </c>
      <c r="D95" s="389" t="s">
        <v>9</v>
      </c>
      <c r="E95" s="392">
        <v>8</v>
      </c>
      <c r="F95" s="401" t="s">
        <v>34</v>
      </c>
      <c r="G95"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02" t="e">
        <f>VLOOKUP(BUReporting[[#This Row],[Program]],'Program MW '!$A$34:$S$44,6,FALSE)</f>
        <v>#N/A</v>
      </c>
    </row>
    <row r="96" spans="1:8" ht="15.5" thickTop="1" thickBot="1">
      <c r="A96" s="391">
        <v>3</v>
      </c>
      <c r="B96" s="389" t="s">
        <v>14</v>
      </c>
      <c r="C96" s="404"/>
      <c r="D96" s="389" t="s">
        <v>9</v>
      </c>
      <c r="E96" s="392">
        <v>8</v>
      </c>
      <c r="F96" s="401" t="s">
        <v>34</v>
      </c>
      <c r="G96"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02" t="e">
        <f>VLOOKUP(BUReporting[[#This Row],[Program]],'Program MW '!$A$34:$S$44,6,FALSE)</f>
        <v>#N/A</v>
      </c>
    </row>
    <row r="97" spans="1:8" ht="15.5" thickTop="1" thickBot="1">
      <c r="A97" s="391">
        <v>4</v>
      </c>
      <c r="B97" s="389" t="s">
        <v>15</v>
      </c>
      <c r="C97" s="404" t="s">
        <v>16</v>
      </c>
      <c r="D97" s="389" t="s">
        <v>9</v>
      </c>
      <c r="E97" s="392">
        <v>8</v>
      </c>
      <c r="F97" s="401" t="s">
        <v>34</v>
      </c>
      <c r="G97" s="39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02" t="e">
        <f>VLOOKUP(BUReporting[[#This Row],[Program]],'Program MW '!$A$34:$S$44,6,FALSE)</f>
        <v>#N/A</v>
      </c>
    </row>
    <row r="98" spans="1:8" ht="15.5" thickTop="1" thickBot="1">
      <c r="A98" s="391">
        <v>5</v>
      </c>
      <c r="B98" s="389" t="s">
        <v>17</v>
      </c>
      <c r="C98" s="404" t="s">
        <v>18</v>
      </c>
      <c r="D98" s="389" t="s">
        <v>19</v>
      </c>
      <c r="E98" s="392">
        <v>8</v>
      </c>
      <c r="F98" s="401" t="s">
        <v>34</v>
      </c>
      <c r="G98"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02">
        <f>VLOOKUP(BUReporting[[#This Row],[Program]],'Program MW '!$A$34:$S$44,6,FALSE)</f>
        <v>0</v>
      </c>
    </row>
    <row r="99" spans="1:8" ht="15.5" thickTop="1" thickBot="1">
      <c r="A99" s="391">
        <v>6</v>
      </c>
      <c r="B99" s="389" t="s">
        <v>20</v>
      </c>
      <c r="C99" s="404" t="s">
        <v>18</v>
      </c>
      <c r="D99" s="389" t="s">
        <v>9</v>
      </c>
      <c r="E99" s="392">
        <v>8</v>
      </c>
      <c r="F99" s="401" t="s">
        <v>34</v>
      </c>
      <c r="G99"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02">
        <f>VLOOKUP(BUReporting[[#This Row],[Program]],'Program MW '!$A$34:$S$44,6,FALSE)</f>
        <v>0</v>
      </c>
    </row>
    <row r="100" spans="1:8" ht="15.5" thickTop="1" thickBot="1">
      <c r="A100" s="391">
        <v>7</v>
      </c>
      <c r="B100" s="389" t="s">
        <v>21</v>
      </c>
      <c r="C100" s="404" t="s">
        <v>22</v>
      </c>
      <c r="D100" s="389" t="s">
        <v>19</v>
      </c>
      <c r="E100" s="392">
        <v>8</v>
      </c>
      <c r="F100" s="401" t="s">
        <v>34</v>
      </c>
      <c r="G100"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02">
        <f>VLOOKUP(BUReporting[[#This Row],[Program]],'Program MW '!$A$34:$S$44,6,FALSE)</f>
        <v>0</v>
      </c>
    </row>
    <row r="101" spans="1:8" ht="15.5" thickTop="1" thickBot="1">
      <c r="A101" s="391">
        <v>8</v>
      </c>
      <c r="B101" s="389" t="s">
        <v>23</v>
      </c>
      <c r="C101" s="404" t="s">
        <v>22</v>
      </c>
      <c r="D101" s="389" t="s">
        <v>9</v>
      </c>
      <c r="E101" s="392">
        <v>8</v>
      </c>
      <c r="F101" s="401" t="s">
        <v>34</v>
      </c>
      <c r="G101"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02">
        <f>VLOOKUP(BUReporting[[#This Row],[Program]],'Program MW '!$A$34:$S$44,6,FALSE)</f>
        <v>0</v>
      </c>
    </row>
    <row r="102" spans="1:8" ht="15.5" thickTop="1" thickBot="1">
      <c r="A102" s="391">
        <v>9</v>
      </c>
      <c r="B102" s="389" t="s">
        <v>24</v>
      </c>
      <c r="C102" s="404"/>
      <c r="D102" s="389" t="s">
        <v>9</v>
      </c>
      <c r="E102" s="392">
        <v>8</v>
      </c>
      <c r="F102" s="401" t="s">
        <v>34</v>
      </c>
      <c r="G102"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02">
        <f>VLOOKUP(BUReporting[[#This Row],[Program]],'Program MW '!$A$34:$S$44,6,FALSE)</f>
        <v>0</v>
      </c>
    </row>
    <row r="103" spans="1:8" ht="15.5" thickTop="1" thickBot="1">
      <c r="A103" s="391">
        <v>10</v>
      </c>
      <c r="B103" s="389" t="s">
        <v>25</v>
      </c>
      <c r="C103" s="404"/>
      <c r="D103" s="389" t="s">
        <v>9</v>
      </c>
      <c r="E103" s="392">
        <v>8</v>
      </c>
      <c r="F103" s="401" t="s">
        <v>34</v>
      </c>
      <c r="G103"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02">
        <f>VLOOKUP(BUReporting[[#This Row],[Program]],'Program MW '!$A$34:$S$44,6,FALSE)</f>
        <v>0</v>
      </c>
    </row>
    <row r="104" spans="1:8" ht="15.5" thickTop="1" thickBot="1">
      <c r="A104" s="391">
        <v>11</v>
      </c>
      <c r="B104" s="389" t="s">
        <v>26</v>
      </c>
      <c r="C104" s="404"/>
      <c r="D104" s="389" t="s">
        <v>9</v>
      </c>
      <c r="E104" s="392">
        <v>8</v>
      </c>
      <c r="F104" s="401" t="s">
        <v>34</v>
      </c>
      <c r="G104"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02">
        <f>VLOOKUP(BUReporting[[#This Row],[Program]],'Program MW '!$A$34:$S$44,6,FALSE)</f>
        <v>0</v>
      </c>
    </row>
    <row r="105" spans="1:8" ht="13.5" thickTop="1" thickBot="1">
      <c r="A105" s="391">
        <v>12</v>
      </c>
      <c r="B105" s="389" t="s">
        <v>27</v>
      </c>
      <c r="C105" s="388"/>
      <c r="D105" s="389" t="s">
        <v>19</v>
      </c>
      <c r="E105" s="392">
        <v>8</v>
      </c>
      <c r="F105" s="401" t="s">
        <v>34</v>
      </c>
      <c r="G105" s="39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02">
        <f>VLOOKUP(BUReporting[[#This Row],[Program]],'Program MW '!$A$34:$S$44,6,FALSE)</f>
        <v>0</v>
      </c>
    </row>
    <row r="106" spans="1:8" ht="15.5" thickTop="1" thickBot="1">
      <c r="A106" s="403">
        <v>0</v>
      </c>
      <c r="B106" s="85" t="s">
        <v>8</v>
      </c>
      <c r="C106" s="404"/>
      <c r="D106" s="394" t="s">
        <v>9</v>
      </c>
      <c r="E106" s="399">
        <v>9</v>
      </c>
      <c r="F106" s="400" t="s">
        <v>35</v>
      </c>
      <c r="G106" s="39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0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5.5" thickTop="1" thickBot="1">
      <c r="A107" s="391">
        <v>1</v>
      </c>
      <c r="B107" s="389" t="s">
        <v>11</v>
      </c>
      <c r="C107" s="404"/>
      <c r="D107" s="389" t="s">
        <v>9</v>
      </c>
      <c r="E107" s="392">
        <v>9</v>
      </c>
      <c r="F107" s="401" t="s">
        <v>35</v>
      </c>
      <c r="G10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02">
        <f>VLOOKUP(BUReporting[[#This Row],[Program]],'Program MW '!$A$34:$S$44,9,FALSE)</f>
        <v>0</v>
      </c>
    </row>
    <row r="108" spans="1:8" ht="15.5" thickTop="1" thickBot="1">
      <c r="A108" s="391">
        <v>2</v>
      </c>
      <c r="B108" s="389" t="s">
        <v>12</v>
      </c>
      <c r="C108" s="404" t="s">
        <v>13</v>
      </c>
      <c r="D108" s="389" t="s">
        <v>9</v>
      </c>
      <c r="E108" s="392">
        <v>9</v>
      </c>
      <c r="F108" s="401" t="s">
        <v>35</v>
      </c>
      <c r="G108"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02" t="e">
        <f>VLOOKUP(BUReporting[[#This Row],[Program]],'Program MW '!$A$34:$S$44,9,FALSE)</f>
        <v>#N/A</v>
      </c>
    </row>
    <row r="109" spans="1:8" ht="15.5" thickTop="1" thickBot="1">
      <c r="A109" s="391">
        <v>3</v>
      </c>
      <c r="B109" s="389" t="s">
        <v>14</v>
      </c>
      <c r="C109" s="404"/>
      <c r="D109" s="389" t="s">
        <v>9</v>
      </c>
      <c r="E109" s="392">
        <v>9</v>
      </c>
      <c r="F109" s="401" t="s">
        <v>35</v>
      </c>
      <c r="G109"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02" t="e">
        <f>VLOOKUP(BUReporting[[#This Row],[Program]],'Program MW '!$A$34:$S$44,9,FALSE)</f>
        <v>#N/A</v>
      </c>
    </row>
    <row r="110" spans="1:8" ht="15.5" thickTop="1" thickBot="1">
      <c r="A110" s="391">
        <v>4</v>
      </c>
      <c r="B110" s="389" t="s">
        <v>15</v>
      </c>
      <c r="C110" s="404" t="s">
        <v>16</v>
      </c>
      <c r="D110" s="389" t="s">
        <v>9</v>
      </c>
      <c r="E110" s="392">
        <v>9</v>
      </c>
      <c r="F110" s="401" t="s">
        <v>35</v>
      </c>
      <c r="G110" s="39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02" t="e">
        <f>VLOOKUP(BUReporting[[#This Row],[Program]],'Program MW '!$A$34:$S$44,9,FALSE)</f>
        <v>#N/A</v>
      </c>
    </row>
    <row r="111" spans="1:8" ht="15.5" thickTop="1" thickBot="1">
      <c r="A111" s="391">
        <v>5</v>
      </c>
      <c r="B111" s="389" t="s">
        <v>17</v>
      </c>
      <c r="C111" s="404" t="s">
        <v>18</v>
      </c>
      <c r="D111" s="389" t="s">
        <v>19</v>
      </c>
      <c r="E111" s="392">
        <v>9</v>
      </c>
      <c r="F111" s="401" t="s">
        <v>35</v>
      </c>
      <c r="G111"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02">
        <f>VLOOKUP(BUReporting[[#This Row],[Program]],'Program MW '!$A$34:$S$44,9,FALSE)</f>
        <v>0</v>
      </c>
    </row>
    <row r="112" spans="1:8" ht="15.5" thickTop="1" thickBot="1">
      <c r="A112" s="391">
        <v>6</v>
      </c>
      <c r="B112" s="389" t="s">
        <v>20</v>
      </c>
      <c r="C112" s="404" t="s">
        <v>18</v>
      </c>
      <c r="D112" s="389" t="s">
        <v>9</v>
      </c>
      <c r="E112" s="392">
        <v>9</v>
      </c>
      <c r="F112" s="401" t="s">
        <v>35</v>
      </c>
      <c r="G112"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02">
        <f>VLOOKUP(BUReporting[[#This Row],[Program]],'Program MW '!$A$34:$S$44,9,FALSE)</f>
        <v>0</v>
      </c>
    </row>
    <row r="113" spans="1:8" ht="15.5" thickTop="1" thickBot="1">
      <c r="A113" s="391">
        <v>7</v>
      </c>
      <c r="B113" s="389" t="s">
        <v>21</v>
      </c>
      <c r="C113" s="404" t="s">
        <v>22</v>
      </c>
      <c r="D113" s="389" t="s">
        <v>19</v>
      </c>
      <c r="E113" s="392">
        <v>9</v>
      </c>
      <c r="F113" s="401" t="s">
        <v>35</v>
      </c>
      <c r="G113"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02">
        <f>VLOOKUP(BUReporting[[#This Row],[Program]],'Program MW '!$A$34:$S$44,9,FALSE)</f>
        <v>0</v>
      </c>
    </row>
    <row r="114" spans="1:8" ht="15.5" thickTop="1" thickBot="1">
      <c r="A114" s="391">
        <v>8</v>
      </c>
      <c r="B114" s="389" t="s">
        <v>23</v>
      </c>
      <c r="C114" s="404" t="s">
        <v>22</v>
      </c>
      <c r="D114" s="389" t="s">
        <v>9</v>
      </c>
      <c r="E114" s="392">
        <v>9</v>
      </c>
      <c r="F114" s="401" t="s">
        <v>35</v>
      </c>
      <c r="G114"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02">
        <f>VLOOKUP(BUReporting[[#This Row],[Program]],'Program MW '!$A$34:$S$44,9,FALSE)</f>
        <v>0</v>
      </c>
    </row>
    <row r="115" spans="1:8" ht="15.5" thickTop="1" thickBot="1">
      <c r="A115" s="391">
        <v>9</v>
      </c>
      <c r="B115" s="389" t="s">
        <v>24</v>
      </c>
      <c r="C115" s="404"/>
      <c r="D115" s="389" t="s">
        <v>9</v>
      </c>
      <c r="E115" s="392">
        <v>9</v>
      </c>
      <c r="F115" s="401" t="s">
        <v>35</v>
      </c>
      <c r="G115"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02">
        <f>VLOOKUP(BUReporting[[#This Row],[Program]],'Program MW '!$A$34:$S$44,9,FALSE)</f>
        <v>0</v>
      </c>
    </row>
    <row r="116" spans="1:8" ht="15.5" thickTop="1" thickBot="1">
      <c r="A116" s="391">
        <v>10</v>
      </c>
      <c r="B116" s="389" t="s">
        <v>25</v>
      </c>
      <c r="C116" s="404"/>
      <c r="D116" s="389" t="s">
        <v>9</v>
      </c>
      <c r="E116" s="392">
        <v>9</v>
      </c>
      <c r="F116" s="401" t="s">
        <v>35</v>
      </c>
      <c r="G116"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02">
        <f>VLOOKUP(BUReporting[[#This Row],[Program]],'Program MW '!$A$34:$S$44,9,FALSE)</f>
        <v>0</v>
      </c>
    </row>
    <row r="117" spans="1:8" ht="15.5" thickTop="1" thickBot="1">
      <c r="A117" s="391">
        <v>11</v>
      </c>
      <c r="B117" s="389" t="s">
        <v>26</v>
      </c>
      <c r="C117" s="404"/>
      <c r="D117" s="389" t="s">
        <v>9</v>
      </c>
      <c r="E117" s="392">
        <v>9</v>
      </c>
      <c r="F117" s="401" t="s">
        <v>35</v>
      </c>
      <c r="G117"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02">
        <f>VLOOKUP(BUReporting[[#This Row],[Program]],'Program MW '!$A$34:$S$44,9,FALSE)</f>
        <v>0</v>
      </c>
    </row>
    <row r="118" spans="1:8" ht="13.5" thickTop="1" thickBot="1">
      <c r="A118" s="391">
        <v>12</v>
      </c>
      <c r="B118" s="389" t="s">
        <v>27</v>
      </c>
      <c r="C118" s="388"/>
      <c r="D118" s="389" t="s">
        <v>19</v>
      </c>
      <c r="E118" s="392">
        <v>9</v>
      </c>
      <c r="F118" s="401" t="s">
        <v>35</v>
      </c>
      <c r="G118" s="39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02">
        <f>VLOOKUP(BUReporting[[#This Row],[Program]],'Program MW '!$A$34:$S$44,9,FALSE)</f>
        <v>0</v>
      </c>
    </row>
    <row r="119" spans="1:8" ht="15.5" thickTop="1" thickBot="1">
      <c r="A119" s="403">
        <v>0</v>
      </c>
      <c r="B119" s="85" t="s">
        <v>8</v>
      </c>
      <c r="C119" s="404"/>
      <c r="D119" s="394" t="s">
        <v>9</v>
      </c>
      <c r="E119" s="399">
        <v>10</v>
      </c>
      <c r="F119" s="400" t="s">
        <v>36</v>
      </c>
      <c r="G119" s="39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0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5.5" thickTop="1" thickBot="1">
      <c r="A120" s="391">
        <v>1</v>
      </c>
      <c r="B120" s="389" t="s">
        <v>11</v>
      </c>
      <c r="C120" s="404"/>
      <c r="D120" s="389" t="s">
        <v>9</v>
      </c>
      <c r="E120" s="392">
        <v>10</v>
      </c>
      <c r="F120" s="401" t="s">
        <v>36</v>
      </c>
      <c r="G12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02">
        <f>VLOOKUP(BUReporting[[#This Row],[Program]],'Program MW '!$A$34:$S$44,12,FALSE)</f>
        <v>0</v>
      </c>
    </row>
    <row r="121" spans="1:8" ht="15.5" thickTop="1" thickBot="1">
      <c r="A121" s="391">
        <v>2</v>
      </c>
      <c r="B121" s="389" t="s">
        <v>12</v>
      </c>
      <c r="C121" s="404" t="s">
        <v>13</v>
      </c>
      <c r="D121" s="389" t="s">
        <v>9</v>
      </c>
      <c r="E121" s="392">
        <v>10</v>
      </c>
      <c r="F121" s="401" t="s">
        <v>36</v>
      </c>
      <c r="G121"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02" t="e">
        <f>VLOOKUP(BUReporting[[#This Row],[Program]],'Program MW '!$A$34:$S$44,12,FALSE)</f>
        <v>#N/A</v>
      </c>
    </row>
    <row r="122" spans="1:8" ht="15.5" thickTop="1" thickBot="1">
      <c r="A122" s="391">
        <v>3</v>
      </c>
      <c r="B122" s="389" t="s">
        <v>14</v>
      </c>
      <c r="C122" s="404"/>
      <c r="D122" s="389" t="s">
        <v>9</v>
      </c>
      <c r="E122" s="392">
        <v>10</v>
      </c>
      <c r="F122" s="401" t="s">
        <v>36</v>
      </c>
      <c r="G122"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02" t="e">
        <f>VLOOKUP(BUReporting[[#This Row],[Program]],'Program MW '!$A$34:$S$44,12,FALSE)</f>
        <v>#N/A</v>
      </c>
    </row>
    <row r="123" spans="1:8" ht="15.5" thickTop="1" thickBot="1">
      <c r="A123" s="391">
        <v>4</v>
      </c>
      <c r="B123" s="389" t="s">
        <v>15</v>
      </c>
      <c r="C123" s="404" t="s">
        <v>16</v>
      </c>
      <c r="D123" s="389" t="s">
        <v>9</v>
      </c>
      <c r="E123" s="392">
        <v>10</v>
      </c>
      <c r="F123" s="401" t="s">
        <v>36</v>
      </c>
      <c r="G123" s="39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02" t="e">
        <f>VLOOKUP(BUReporting[[#This Row],[Program]],'Program MW '!$A$34:$S$44,12,FALSE)</f>
        <v>#N/A</v>
      </c>
    </row>
    <row r="124" spans="1:8" ht="15.5" thickTop="1" thickBot="1">
      <c r="A124" s="391">
        <v>5</v>
      </c>
      <c r="B124" s="389" t="s">
        <v>17</v>
      </c>
      <c r="C124" s="404" t="s">
        <v>18</v>
      </c>
      <c r="D124" s="389" t="s">
        <v>19</v>
      </c>
      <c r="E124" s="392">
        <v>10</v>
      </c>
      <c r="F124" s="401" t="s">
        <v>36</v>
      </c>
      <c r="G124"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02">
        <f>VLOOKUP(BUReporting[[#This Row],[Program]],'Program MW '!$A$34:$S$44,12,FALSE)</f>
        <v>0</v>
      </c>
    </row>
    <row r="125" spans="1:8" ht="15.5" thickTop="1" thickBot="1">
      <c r="A125" s="391">
        <v>6</v>
      </c>
      <c r="B125" s="389" t="s">
        <v>20</v>
      </c>
      <c r="C125" s="404" t="s">
        <v>18</v>
      </c>
      <c r="D125" s="389" t="s">
        <v>9</v>
      </c>
      <c r="E125" s="392">
        <v>10</v>
      </c>
      <c r="F125" s="401" t="s">
        <v>36</v>
      </c>
      <c r="G125"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02">
        <f>VLOOKUP(BUReporting[[#This Row],[Program]],'Program MW '!$A$34:$S$44,12,FALSE)</f>
        <v>0</v>
      </c>
    </row>
    <row r="126" spans="1:8" ht="15.5" thickTop="1" thickBot="1">
      <c r="A126" s="391">
        <v>7</v>
      </c>
      <c r="B126" s="389" t="s">
        <v>21</v>
      </c>
      <c r="C126" s="404" t="s">
        <v>22</v>
      </c>
      <c r="D126" s="389" t="s">
        <v>19</v>
      </c>
      <c r="E126" s="392">
        <v>10</v>
      </c>
      <c r="F126" s="401" t="s">
        <v>36</v>
      </c>
      <c r="G126"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02">
        <f>VLOOKUP(BUReporting[[#This Row],[Program]],'Program MW '!$A$34:$S$44,12,FALSE)</f>
        <v>0</v>
      </c>
    </row>
    <row r="127" spans="1:8" ht="15.5" thickTop="1" thickBot="1">
      <c r="A127" s="391">
        <v>8</v>
      </c>
      <c r="B127" s="389" t="s">
        <v>23</v>
      </c>
      <c r="C127" s="404" t="s">
        <v>22</v>
      </c>
      <c r="D127" s="389" t="s">
        <v>9</v>
      </c>
      <c r="E127" s="392">
        <v>10</v>
      </c>
      <c r="F127" s="401" t="s">
        <v>36</v>
      </c>
      <c r="G127"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02">
        <f>VLOOKUP(BUReporting[[#This Row],[Program]],'Program MW '!$A$34:$S$44,12,FALSE)</f>
        <v>0</v>
      </c>
    </row>
    <row r="128" spans="1:8" ht="15.5" thickTop="1" thickBot="1">
      <c r="A128" s="391">
        <v>9</v>
      </c>
      <c r="B128" s="389" t="s">
        <v>24</v>
      </c>
      <c r="C128" s="404"/>
      <c r="D128" s="389" t="s">
        <v>9</v>
      </c>
      <c r="E128" s="392">
        <v>10</v>
      </c>
      <c r="F128" s="401" t="s">
        <v>36</v>
      </c>
      <c r="G128"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02">
        <f>VLOOKUP(BUReporting[[#This Row],[Program]],'Program MW '!$A$34:$S$44,12,FALSE)</f>
        <v>0</v>
      </c>
    </row>
    <row r="129" spans="1:8" ht="15.5" thickTop="1" thickBot="1">
      <c r="A129" s="391">
        <v>10</v>
      </c>
      <c r="B129" s="389" t="s">
        <v>25</v>
      </c>
      <c r="C129" s="404"/>
      <c r="D129" s="389" t="s">
        <v>9</v>
      </c>
      <c r="E129" s="392">
        <v>10</v>
      </c>
      <c r="F129" s="401" t="s">
        <v>36</v>
      </c>
      <c r="G129"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02">
        <f>VLOOKUP(BUReporting[[#This Row],[Program]],'Program MW '!$A$34:$S$44,12,FALSE)</f>
        <v>0</v>
      </c>
    </row>
    <row r="130" spans="1:8" ht="15.5" thickTop="1" thickBot="1">
      <c r="A130" s="391">
        <v>11</v>
      </c>
      <c r="B130" s="389" t="s">
        <v>26</v>
      </c>
      <c r="C130" s="404"/>
      <c r="D130" s="389" t="s">
        <v>9</v>
      </c>
      <c r="E130" s="392">
        <v>10</v>
      </c>
      <c r="F130" s="401" t="s">
        <v>36</v>
      </c>
      <c r="G130"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02">
        <f>VLOOKUP(BUReporting[[#This Row],[Program]],'Program MW '!$A$34:$S$44,12,FALSE)</f>
        <v>0</v>
      </c>
    </row>
    <row r="131" spans="1:8" ht="13.5" thickTop="1" thickBot="1">
      <c r="A131" s="391">
        <v>12</v>
      </c>
      <c r="B131" s="389" t="s">
        <v>27</v>
      </c>
      <c r="C131" s="388"/>
      <c r="D131" s="389" t="s">
        <v>19</v>
      </c>
      <c r="E131" s="392">
        <v>10</v>
      </c>
      <c r="F131" s="401" t="s">
        <v>36</v>
      </c>
      <c r="G131" s="39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02">
        <f>VLOOKUP(BUReporting[[#This Row],[Program]],'Program MW '!$A$34:$S$44,12,FALSE)</f>
        <v>0</v>
      </c>
    </row>
    <row r="132" spans="1:8" ht="15.5" thickTop="1" thickBot="1">
      <c r="A132" s="403">
        <v>0</v>
      </c>
      <c r="B132" s="85" t="s">
        <v>8</v>
      </c>
      <c r="C132" s="404"/>
      <c r="D132" s="394" t="s">
        <v>9</v>
      </c>
      <c r="E132" s="399">
        <v>11</v>
      </c>
      <c r="F132" s="400" t="s">
        <v>37</v>
      </c>
      <c r="G132" s="39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0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5.5" thickTop="1" thickBot="1">
      <c r="A133" s="391">
        <v>1</v>
      </c>
      <c r="B133" s="389" t="s">
        <v>11</v>
      </c>
      <c r="C133" s="404"/>
      <c r="D133" s="389" t="s">
        <v>9</v>
      </c>
      <c r="E133" s="392">
        <v>11</v>
      </c>
      <c r="F133" s="401" t="s">
        <v>37</v>
      </c>
      <c r="G13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02">
        <f>VLOOKUP(BUReporting[[#This Row],[Program]],'Program MW '!$A$34:$S$44,15,FALSE)</f>
        <v>0</v>
      </c>
    </row>
    <row r="134" spans="1:8" ht="15.5" thickTop="1" thickBot="1">
      <c r="A134" s="391">
        <v>2</v>
      </c>
      <c r="B134" s="389" t="s">
        <v>12</v>
      </c>
      <c r="C134" s="404" t="s">
        <v>13</v>
      </c>
      <c r="D134" s="389" t="s">
        <v>9</v>
      </c>
      <c r="E134" s="392">
        <v>11</v>
      </c>
      <c r="F134" s="401" t="s">
        <v>37</v>
      </c>
      <c r="G134"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02" t="e">
        <f>VLOOKUP(BUReporting[[#This Row],[Program]],'Program MW '!$A$34:$S$44,15,FALSE)</f>
        <v>#N/A</v>
      </c>
    </row>
    <row r="135" spans="1:8" ht="15.5" thickTop="1" thickBot="1">
      <c r="A135" s="391">
        <v>3</v>
      </c>
      <c r="B135" s="389" t="s">
        <v>14</v>
      </c>
      <c r="C135" s="404"/>
      <c r="D135" s="389" t="s">
        <v>9</v>
      </c>
      <c r="E135" s="392">
        <v>11</v>
      </c>
      <c r="F135" s="401" t="s">
        <v>37</v>
      </c>
      <c r="G135"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02" t="e">
        <f>VLOOKUP(BUReporting[[#This Row],[Program]],'Program MW '!$A$34:$S$44,15,FALSE)</f>
        <v>#N/A</v>
      </c>
    </row>
    <row r="136" spans="1:8" ht="15.5" thickTop="1" thickBot="1">
      <c r="A136" s="391">
        <v>4</v>
      </c>
      <c r="B136" s="389" t="s">
        <v>15</v>
      </c>
      <c r="C136" s="404" t="s">
        <v>16</v>
      </c>
      <c r="D136" s="389" t="s">
        <v>9</v>
      </c>
      <c r="E136" s="392">
        <v>11</v>
      </c>
      <c r="F136" s="401" t="s">
        <v>37</v>
      </c>
      <c r="G136" s="39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02" t="e">
        <f>VLOOKUP(BUReporting[[#This Row],[Program]],'Program MW '!$A$34:$S$44,15,FALSE)</f>
        <v>#N/A</v>
      </c>
    </row>
    <row r="137" spans="1:8" ht="15.5" thickTop="1" thickBot="1">
      <c r="A137" s="391">
        <v>5</v>
      </c>
      <c r="B137" s="389" t="s">
        <v>17</v>
      </c>
      <c r="C137" s="404" t="s">
        <v>18</v>
      </c>
      <c r="D137" s="389" t="s">
        <v>19</v>
      </c>
      <c r="E137" s="392">
        <v>11</v>
      </c>
      <c r="F137" s="401" t="s">
        <v>37</v>
      </c>
      <c r="G137"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02">
        <f>VLOOKUP(BUReporting[[#This Row],[Program]],'Program MW '!$A$34:$S$44,15,FALSE)</f>
        <v>0</v>
      </c>
    </row>
    <row r="138" spans="1:8" ht="15.5" thickTop="1" thickBot="1">
      <c r="A138" s="391">
        <v>6</v>
      </c>
      <c r="B138" s="389" t="s">
        <v>20</v>
      </c>
      <c r="C138" s="404" t="s">
        <v>18</v>
      </c>
      <c r="D138" s="389" t="s">
        <v>9</v>
      </c>
      <c r="E138" s="392">
        <v>11</v>
      </c>
      <c r="F138" s="401" t="s">
        <v>37</v>
      </c>
      <c r="G138"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02">
        <f>VLOOKUP(BUReporting[[#This Row],[Program]],'Program MW '!$A$34:$S$44,15,FALSE)</f>
        <v>0</v>
      </c>
    </row>
    <row r="139" spans="1:8" ht="15.5" thickTop="1" thickBot="1">
      <c r="A139" s="391">
        <v>7</v>
      </c>
      <c r="B139" s="389" t="s">
        <v>21</v>
      </c>
      <c r="C139" s="404" t="s">
        <v>22</v>
      </c>
      <c r="D139" s="389" t="s">
        <v>19</v>
      </c>
      <c r="E139" s="392">
        <v>11</v>
      </c>
      <c r="F139" s="401" t="s">
        <v>37</v>
      </c>
      <c r="G139"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02">
        <f>VLOOKUP(BUReporting[[#This Row],[Program]],'Program MW '!$A$34:$S$44,15,FALSE)</f>
        <v>0</v>
      </c>
    </row>
    <row r="140" spans="1:8" ht="15.5" thickTop="1" thickBot="1">
      <c r="A140" s="391">
        <v>8</v>
      </c>
      <c r="B140" s="389" t="s">
        <v>23</v>
      </c>
      <c r="C140" s="404" t="s">
        <v>22</v>
      </c>
      <c r="D140" s="389" t="s">
        <v>9</v>
      </c>
      <c r="E140" s="392">
        <v>11</v>
      </c>
      <c r="F140" s="401" t="s">
        <v>37</v>
      </c>
      <c r="G140"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02">
        <f>VLOOKUP(BUReporting[[#This Row],[Program]],'Program MW '!$A$34:$S$44,15,FALSE)</f>
        <v>0</v>
      </c>
    </row>
    <row r="141" spans="1:8" ht="15.5" thickTop="1" thickBot="1">
      <c r="A141" s="391">
        <v>9</v>
      </c>
      <c r="B141" s="389" t="s">
        <v>24</v>
      </c>
      <c r="C141" s="404"/>
      <c r="D141" s="389" t="s">
        <v>9</v>
      </c>
      <c r="E141" s="392">
        <v>11</v>
      </c>
      <c r="F141" s="401" t="s">
        <v>37</v>
      </c>
      <c r="G141"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02">
        <f>VLOOKUP(BUReporting[[#This Row],[Program]],'Program MW '!$A$34:$S$44,15,FALSE)</f>
        <v>0</v>
      </c>
    </row>
    <row r="142" spans="1:8" ht="15.5" thickTop="1" thickBot="1">
      <c r="A142" s="391">
        <v>10</v>
      </c>
      <c r="B142" s="389" t="s">
        <v>25</v>
      </c>
      <c r="C142" s="404"/>
      <c r="D142" s="389" t="s">
        <v>9</v>
      </c>
      <c r="E142" s="392">
        <v>11</v>
      </c>
      <c r="F142" s="401" t="s">
        <v>37</v>
      </c>
      <c r="G142"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02">
        <f>VLOOKUP(BUReporting[[#This Row],[Program]],'Program MW '!$A$34:$S$44,15,FALSE)</f>
        <v>0</v>
      </c>
    </row>
    <row r="143" spans="1:8" ht="15.5" thickTop="1" thickBot="1">
      <c r="A143" s="391">
        <v>11</v>
      </c>
      <c r="B143" s="389" t="s">
        <v>26</v>
      </c>
      <c r="C143" s="404"/>
      <c r="D143" s="389" t="s">
        <v>9</v>
      </c>
      <c r="E143" s="392">
        <v>11</v>
      </c>
      <c r="F143" s="401" t="s">
        <v>37</v>
      </c>
      <c r="G143"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02">
        <f>VLOOKUP(BUReporting[[#This Row],[Program]],'Program MW '!$A$34:$S$44,15,FALSE)</f>
        <v>0</v>
      </c>
    </row>
    <row r="144" spans="1:8" ht="13.5" thickTop="1" thickBot="1">
      <c r="A144" s="391">
        <v>12</v>
      </c>
      <c r="B144" s="389" t="s">
        <v>27</v>
      </c>
      <c r="C144" s="388"/>
      <c r="D144" s="389" t="s">
        <v>19</v>
      </c>
      <c r="E144" s="392">
        <v>11</v>
      </c>
      <c r="F144" s="401" t="s">
        <v>37</v>
      </c>
      <c r="G144" s="39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02">
        <f>VLOOKUP(BUReporting[[#This Row],[Program]],'Program MW '!$A$34:$S$44,15,FALSE)</f>
        <v>0</v>
      </c>
    </row>
    <row r="145" spans="1:8" ht="15.5" thickTop="1" thickBot="1">
      <c r="A145" s="403">
        <v>0</v>
      </c>
      <c r="B145" s="85" t="s">
        <v>8</v>
      </c>
      <c r="C145" s="404"/>
      <c r="D145" s="394" t="s">
        <v>9</v>
      </c>
      <c r="E145" s="399">
        <v>12</v>
      </c>
      <c r="F145" s="400" t="s">
        <v>38</v>
      </c>
      <c r="G145" s="39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0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5.5" thickTop="1" thickBot="1">
      <c r="A146" s="391">
        <v>1</v>
      </c>
      <c r="B146" s="389" t="s">
        <v>11</v>
      </c>
      <c r="C146" s="404"/>
      <c r="D146" s="389" t="s">
        <v>9</v>
      </c>
      <c r="E146" s="392">
        <v>12</v>
      </c>
      <c r="F146" s="401" t="s">
        <v>38</v>
      </c>
      <c r="G14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02">
        <f>VLOOKUP(BUReporting[[#This Row],[Program]],'Program MW '!$A$34:$S$44,18,FALSE)</f>
        <v>0</v>
      </c>
    </row>
    <row r="147" spans="1:8" ht="15.5" thickTop="1" thickBot="1">
      <c r="A147" s="391">
        <v>2</v>
      </c>
      <c r="B147" s="389" t="s">
        <v>12</v>
      </c>
      <c r="C147" s="404" t="s">
        <v>13</v>
      </c>
      <c r="D147" s="389" t="s">
        <v>9</v>
      </c>
      <c r="E147" s="392">
        <v>12</v>
      </c>
      <c r="F147" s="401" t="s">
        <v>38</v>
      </c>
      <c r="G147"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02" t="e">
        <f>VLOOKUP(BUReporting[[#This Row],[Program]],'Program MW '!$A$34:$S$44,18,FALSE)</f>
        <v>#N/A</v>
      </c>
    </row>
    <row r="148" spans="1:8" ht="15.5" thickTop="1" thickBot="1">
      <c r="A148" s="391">
        <v>3</v>
      </c>
      <c r="B148" s="389" t="s">
        <v>14</v>
      </c>
      <c r="C148" s="404"/>
      <c r="D148" s="389" t="s">
        <v>9</v>
      </c>
      <c r="E148" s="392">
        <v>12</v>
      </c>
      <c r="F148" s="401" t="s">
        <v>38</v>
      </c>
      <c r="G148"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02" t="e">
        <f>VLOOKUP(BUReporting[[#This Row],[Program]],'Program MW '!$A$34:$S$44,18,FALSE)</f>
        <v>#N/A</v>
      </c>
    </row>
    <row r="149" spans="1:8" ht="15.5" thickTop="1" thickBot="1">
      <c r="A149" s="391">
        <v>4</v>
      </c>
      <c r="B149" s="389" t="s">
        <v>15</v>
      </c>
      <c r="C149" s="404" t="s">
        <v>16</v>
      </c>
      <c r="D149" s="389" t="s">
        <v>9</v>
      </c>
      <c r="E149" s="392">
        <v>12</v>
      </c>
      <c r="F149" s="401" t="s">
        <v>38</v>
      </c>
      <c r="G149" s="39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02" t="e">
        <f>VLOOKUP(BUReporting[[#This Row],[Program]],'Program MW '!$A$34:$S$44,18,FALSE)</f>
        <v>#N/A</v>
      </c>
    </row>
    <row r="150" spans="1:8" ht="15.5" thickTop="1" thickBot="1">
      <c r="A150" s="391">
        <v>5</v>
      </c>
      <c r="B150" s="389" t="s">
        <v>17</v>
      </c>
      <c r="C150" s="404" t="s">
        <v>18</v>
      </c>
      <c r="D150" s="389" t="s">
        <v>19</v>
      </c>
      <c r="E150" s="392">
        <v>12</v>
      </c>
      <c r="F150" s="401" t="s">
        <v>38</v>
      </c>
      <c r="G150"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02">
        <f>VLOOKUP(BUReporting[[#This Row],[Program]],'Program MW '!$A$34:$S$44,18,FALSE)</f>
        <v>0</v>
      </c>
    </row>
    <row r="151" spans="1:8" ht="15.5" thickTop="1" thickBot="1">
      <c r="A151" s="391">
        <v>6</v>
      </c>
      <c r="B151" s="389" t="s">
        <v>20</v>
      </c>
      <c r="C151" s="404" t="s">
        <v>18</v>
      </c>
      <c r="D151" s="389" t="s">
        <v>9</v>
      </c>
      <c r="E151" s="392">
        <v>12</v>
      </c>
      <c r="F151" s="401" t="s">
        <v>38</v>
      </c>
      <c r="G151"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02">
        <f>VLOOKUP(BUReporting[[#This Row],[Program]],'Program MW '!$A$34:$S$44,18,FALSE)</f>
        <v>0</v>
      </c>
    </row>
    <row r="152" spans="1:8" ht="15.5" thickTop="1" thickBot="1">
      <c r="A152" s="391">
        <v>7</v>
      </c>
      <c r="B152" s="389" t="s">
        <v>21</v>
      </c>
      <c r="C152" s="404" t="s">
        <v>22</v>
      </c>
      <c r="D152" s="389" t="s">
        <v>19</v>
      </c>
      <c r="E152" s="392">
        <v>12</v>
      </c>
      <c r="F152" s="401" t="s">
        <v>38</v>
      </c>
      <c r="G152"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02">
        <f>VLOOKUP(BUReporting[[#This Row],[Program]],'Program MW '!$A$34:$S$44,18,FALSE)</f>
        <v>0</v>
      </c>
    </row>
    <row r="153" spans="1:8" ht="15.5" thickTop="1" thickBot="1">
      <c r="A153" s="391">
        <v>8</v>
      </c>
      <c r="B153" s="389" t="s">
        <v>23</v>
      </c>
      <c r="C153" s="404" t="s">
        <v>22</v>
      </c>
      <c r="D153" s="389" t="s">
        <v>9</v>
      </c>
      <c r="E153" s="392">
        <v>12</v>
      </c>
      <c r="F153" s="401" t="s">
        <v>38</v>
      </c>
      <c r="G153"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02">
        <f>VLOOKUP(BUReporting[[#This Row],[Program]],'Program MW '!$A$34:$S$44,18,FALSE)</f>
        <v>0</v>
      </c>
    </row>
    <row r="154" spans="1:8" ht="15.5" thickTop="1" thickBot="1">
      <c r="A154" s="391">
        <v>9</v>
      </c>
      <c r="B154" s="389" t="s">
        <v>24</v>
      </c>
      <c r="C154" s="404"/>
      <c r="D154" s="389" t="s">
        <v>9</v>
      </c>
      <c r="E154" s="392">
        <v>12</v>
      </c>
      <c r="F154" s="401" t="s">
        <v>38</v>
      </c>
      <c r="G154"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02">
        <f>VLOOKUP(BUReporting[[#This Row],[Program]],'Program MW '!$A$34:$S$44,18,FALSE)</f>
        <v>0</v>
      </c>
    </row>
    <row r="155" spans="1:8" ht="15.5" thickTop="1" thickBot="1">
      <c r="A155" s="391">
        <v>10</v>
      </c>
      <c r="B155" s="389" t="s">
        <v>25</v>
      </c>
      <c r="C155" s="404"/>
      <c r="D155" s="389" t="s">
        <v>9</v>
      </c>
      <c r="E155" s="392">
        <v>12</v>
      </c>
      <c r="F155" s="401" t="s">
        <v>38</v>
      </c>
      <c r="G155"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02">
        <f>VLOOKUP(BUReporting[[#This Row],[Program]],'Program MW '!$A$34:$S$44,18,FALSE)</f>
        <v>0</v>
      </c>
    </row>
    <row r="156" spans="1:8" ht="15.5" thickTop="1" thickBot="1">
      <c r="A156" s="391">
        <v>11</v>
      </c>
      <c r="B156" s="389" t="s">
        <v>26</v>
      </c>
      <c r="C156" s="404"/>
      <c r="D156" s="389" t="s">
        <v>9</v>
      </c>
      <c r="E156" s="392">
        <v>12</v>
      </c>
      <c r="F156" s="401" t="s">
        <v>38</v>
      </c>
      <c r="G156"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02">
        <f>VLOOKUP(BUReporting[[#This Row],[Program]],'Program MW '!$A$34:$S$44,18,FALSE)</f>
        <v>0</v>
      </c>
    </row>
    <row r="157" spans="1:8" ht="13" thickTop="1">
      <c r="A157" s="391">
        <v>12</v>
      </c>
      <c r="B157" s="389" t="s">
        <v>27</v>
      </c>
      <c r="C157" s="388"/>
      <c r="D157" s="389" t="s">
        <v>19</v>
      </c>
      <c r="E157" s="392">
        <v>12</v>
      </c>
      <c r="F157" s="401" t="s">
        <v>38</v>
      </c>
      <c r="G157" s="39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02">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23"/>
  <sheetViews>
    <sheetView zoomScaleNormal="100" zoomScaleSheetLayoutView="100" workbookViewId="0">
      <selection activeCell="B55" sqref="B55"/>
    </sheetView>
  </sheetViews>
  <sheetFormatPr defaultColWidth="9.26953125" defaultRowHeight="12.5"/>
  <cols>
    <col min="1" max="1" width="29.26953125" style="142" customWidth="1"/>
    <col min="2" max="2" width="22.54296875" style="142" bestFit="1" customWidth="1"/>
    <col min="3" max="3" width="49.7265625" style="142" customWidth="1"/>
    <col min="4" max="4" width="11.26953125" style="142" customWidth="1"/>
    <col min="5" max="5" width="57" style="142" customWidth="1"/>
    <col min="6" max="13" width="9.26953125" style="142"/>
    <col min="14" max="14" width="23.7265625" style="142" bestFit="1" customWidth="1"/>
    <col min="15" max="16384" width="9.26953125" style="142"/>
  </cols>
  <sheetData>
    <row r="1" spans="1:5" ht="13">
      <c r="C1" s="148" t="s">
        <v>39</v>
      </c>
    </row>
    <row r="2" spans="1:5" ht="13">
      <c r="C2" s="148" t="s">
        <v>174</v>
      </c>
    </row>
    <row r="3" spans="1:5" ht="13">
      <c r="C3" s="198" t="s">
        <v>289</v>
      </c>
    </row>
    <row r="4" spans="1:5">
      <c r="C4" s="17"/>
    </row>
    <row r="5" spans="1:5">
      <c r="C5" s="17"/>
      <c r="D5" s="196"/>
    </row>
    <row r="6" spans="1:5" s="17" customFormat="1" ht="13">
      <c r="A6" s="268"/>
      <c r="B6" s="268"/>
    </row>
    <row r="7" spans="1:5" s="17" customFormat="1"/>
    <row r="8" spans="1:5" s="19" customFormat="1" ht="13">
      <c r="A8" s="18" t="s">
        <v>175</v>
      </c>
      <c r="B8" s="18" t="s">
        <v>176</v>
      </c>
      <c r="C8" s="18" t="s">
        <v>177</v>
      </c>
      <c r="D8" s="18" t="s">
        <v>178</v>
      </c>
      <c r="E8" s="18" t="s">
        <v>179</v>
      </c>
    </row>
    <row r="9" spans="1:5" s="19" customFormat="1" ht="50">
      <c r="A9" s="338" t="s">
        <v>149</v>
      </c>
      <c r="B9" s="339">
        <v>-234498</v>
      </c>
      <c r="C9" s="346" t="s">
        <v>207</v>
      </c>
      <c r="D9" s="341">
        <v>43302</v>
      </c>
      <c r="E9" s="340" t="s">
        <v>279</v>
      </c>
    </row>
    <row r="10" spans="1:5" s="19" customFormat="1" ht="50">
      <c r="A10" s="338" t="s">
        <v>287</v>
      </c>
      <c r="B10" s="339">
        <v>-700000</v>
      </c>
      <c r="C10" s="346" t="s">
        <v>280</v>
      </c>
      <c r="D10" s="341">
        <v>43302</v>
      </c>
      <c r="E10" s="340" t="s">
        <v>281</v>
      </c>
    </row>
    <row r="11" spans="1:5" s="19" customFormat="1" ht="62.5">
      <c r="A11" s="338" t="s">
        <v>288</v>
      </c>
      <c r="B11" s="339">
        <v>-194400</v>
      </c>
      <c r="C11" s="346" t="s">
        <v>282</v>
      </c>
      <c r="D11" s="341">
        <v>43304</v>
      </c>
      <c r="E11" s="340" t="s">
        <v>283</v>
      </c>
    </row>
    <row r="12" spans="1:5" s="19" customFormat="1" ht="137.5">
      <c r="A12" s="338" t="s">
        <v>286</v>
      </c>
      <c r="B12" s="339">
        <v>1128898</v>
      </c>
      <c r="C12" s="346" t="s">
        <v>284</v>
      </c>
      <c r="D12" s="341">
        <v>43302</v>
      </c>
      <c r="E12" s="340" t="s">
        <v>285</v>
      </c>
    </row>
    <row r="13" spans="1:5" s="342" customFormat="1" ht="50">
      <c r="A13" s="338" t="s">
        <v>169</v>
      </c>
      <c r="B13" s="339">
        <v>-166000</v>
      </c>
      <c r="C13" s="346" t="s">
        <v>170</v>
      </c>
      <c r="D13" s="341">
        <v>44061</v>
      </c>
      <c r="E13" s="340" t="s">
        <v>240</v>
      </c>
    </row>
    <row r="14" spans="1:5" s="345" customFormat="1" ht="50">
      <c r="A14" s="338" t="s">
        <v>169</v>
      </c>
      <c r="B14" s="344">
        <v>-400000</v>
      </c>
      <c r="C14" s="346" t="s">
        <v>239</v>
      </c>
      <c r="D14" s="341">
        <v>44061</v>
      </c>
      <c r="E14" s="340" t="s">
        <v>240</v>
      </c>
    </row>
    <row r="15" spans="1:5" s="345" customFormat="1" ht="50">
      <c r="A15" s="338" t="s">
        <v>169</v>
      </c>
      <c r="B15" s="344">
        <v>566000</v>
      </c>
      <c r="C15" s="347" t="s">
        <v>238</v>
      </c>
      <c r="D15" s="341">
        <v>44061</v>
      </c>
      <c r="E15" s="340" t="s">
        <v>240</v>
      </c>
    </row>
    <row r="16" spans="1:5" s="345" customFormat="1">
      <c r="A16" s="343" t="s">
        <v>56</v>
      </c>
      <c r="B16" s="344" t="s">
        <v>56</v>
      </c>
      <c r="C16" s="347" t="s">
        <v>56</v>
      </c>
      <c r="D16" s="341"/>
      <c r="E16" s="340"/>
    </row>
    <row r="17" spans="1:5" ht="13">
      <c r="A17" s="144" t="s">
        <v>91</v>
      </c>
      <c r="B17" s="228">
        <f>SUM(B9:B16)</f>
        <v>0</v>
      </c>
      <c r="C17" s="143"/>
      <c r="D17" s="143"/>
      <c r="E17" s="143"/>
    </row>
    <row r="18" spans="1:5">
      <c r="A18" s="143"/>
      <c r="B18" s="143"/>
      <c r="C18" s="143"/>
      <c r="D18" s="143"/>
      <c r="E18" s="143"/>
    </row>
    <row r="20" spans="1:5" ht="14">
      <c r="A20" s="435" t="s">
        <v>63</v>
      </c>
    </row>
    <row r="21" spans="1:5" ht="14">
      <c r="A21" s="436" t="s">
        <v>180</v>
      </c>
    </row>
    <row r="22" spans="1:5" ht="14">
      <c r="A22" s="435"/>
    </row>
    <row r="23" spans="1:5" ht="14.5">
      <c r="A23" s="437" t="s">
        <v>64</v>
      </c>
      <c r="E23" s="145"/>
    </row>
  </sheetData>
  <phoneticPr fontId="45"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7"/>
  <sheetViews>
    <sheetView showGridLines="0" tabSelected="1" zoomScale="140" zoomScaleNormal="140" zoomScaleSheetLayoutView="75" workbookViewId="0">
      <pane xSplit="1" ySplit="8" topLeftCell="B9" activePane="bottomRight" state="frozen"/>
      <selection activeCell="B55" sqref="B55"/>
      <selection pane="topRight" activeCell="B55" sqref="B55"/>
      <selection pane="bottomLeft" activeCell="B55" sqref="B55"/>
      <selection pane="bottomRight" activeCell="G22" sqref="G22"/>
    </sheetView>
  </sheetViews>
  <sheetFormatPr defaultColWidth="17" defaultRowHeight="11.5"/>
  <cols>
    <col min="1" max="1" width="46.26953125" style="211" customWidth="1"/>
    <col min="2" max="9" width="11.54296875" style="211" customWidth="1"/>
    <col min="10" max="10" width="11.54296875" style="212" customWidth="1"/>
    <col min="11" max="14" width="11.54296875" style="211" customWidth="1"/>
    <col min="15" max="16" width="0" style="211" hidden="1" customWidth="1"/>
    <col min="17" max="16384" width="17" style="211"/>
  </cols>
  <sheetData>
    <row r="1" spans="1:16">
      <c r="A1" s="211" t="s">
        <v>56</v>
      </c>
      <c r="E1" s="209" t="s">
        <v>39</v>
      </c>
    </row>
    <row r="2" spans="1:16">
      <c r="E2" s="209" t="s">
        <v>188</v>
      </c>
    </row>
    <row r="3" spans="1:16">
      <c r="D3" s="213"/>
      <c r="E3" s="214" t="str">
        <f>'Program MW '!H3</f>
        <v>July 2021</v>
      </c>
      <c r="F3" s="213"/>
      <c r="N3" s="651"/>
    </row>
    <row r="4" spans="1:16" ht="12" thickBot="1"/>
    <row r="5" spans="1:16">
      <c r="A5" s="215"/>
      <c r="B5" s="216"/>
      <c r="C5" s="216"/>
      <c r="D5" s="216"/>
      <c r="E5" s="216"/>
      <c r="F5" s="216"/>
      <c r="G5" s="216"/>
      <c r="H5" s="216"/>
      <c r="I5" s="216"/>
      <c r="J5" s="217"/>
      <c r="K5" s="216"/>
      <c r="L5" s="216"/>
      <c r="M5" s="216"/>
      <c r="N5" s="454"/>
    </row>
    <row r="6" spans="1:16" ht="23">
      <c r="A6" s="218" t="s">
        <v>189</v>
      </c>
      <c r="B6" s="443" t="s">
        <v>41</v>
      </c>
      <c r="C6" s="443" t="s">
        <v>42</v>
      </c>
      <c r="D6" s="443" t="s">
        <v>43</v>
      </c>
      <c r="E6" s="443" t="s">
        <v>44</v>
      </c>
      <c r="F6" s="443" t="s">
        <v>31</v>
      </c>
      <c r="G6" s="443" t="s">
        <v>45</v>
      </c>
      <c r="H6" s="443" t="s">
        <v>59</v>
      </c>
      <c r="I6" s="443" t="s">
        <v>66</v>
      </c>
      <c r="J6" s="444" t="s">
        <v>67</v>
      </c>
      <c r="K6" s="443" t="s">
        <v>61</v>
      </c>
      <c r="L6" s="443" t="s">
        <v>68</v>
      </c>
      <c r="M6" s="532" t="s">
        <v>62</v>
      </c>
      <c r="N6" s="533" t="s">
        <v>190</v>
      </c>
    </row>
    <row r="7" spans="1:16">
      <c r="A7" s="219"/>
      <c r="B7" s="220"/>
      <c r="C7" s="220"/>
      <c r="D7" s="220"/>
      <c r="E7" s="220"/>
      <c r="F7" s="659"/>
      <c r="G7" s="659"/>
      <c r="H7" s="660"/>
      <c r="I7" s="659"/>
      <c r="J7" s="661"/>
      <c r="K7" s="659"/>
      <c r="L7" s="659"/>
      <c r="M7" s="662"/>
      <c r="N7" s="663"/>
    </row>
    <row r="8" spans="1:16">
      <c r="A8" s="221" t="s">
        <v>191</v>
      </c>
      <c r="B8" s="220"/>
      <c r="C8" s="220"/>
      <c r="D8" s="220"/>
      <c r="E8" s="220"/>
      <c r="F8" s="659"/>
      <c r="G8" s="659"/>
      <c r="H8" s="660"/>
      <c r="I8" s="659"/>
      <c r="J8" s="661"/>
      <c r="K8" s="659"/>
      <c r="L8" s="659"/>
      <c r="M8" s="662"/>
      <c r="N8" s="663"/>
    </row>
    <row r="9" spans="1:16">
      <c r="A9" s="308" t="s">
        <v>192</v>
      </c>
      <c r="B9" s="754">
        <v>5.4340000000000002</v>
      </c>
      <c r="C9" s="753">
        <v>8.3640000000000008</v>
      </c>
      <c r="D9" s="753">
        <f>24.646-C9-B9</f>
        <v>10.847999999999999</v>
      </c>
      <c r="E9" s="753">
        <v>10.628</v>
      </c>
      <c r="F9" s="753">
        <v>12.351000000000001</v>
      </c>
      <c r="G9" s="753">
        <v>13.272</v>
      </c>
      <c r="H9" s="753">
        <v>11.590999999999999</v>
      </c>
      <c r="I9" s="753">
        <v>0</v>
      </c>
      <c r="J9" s="753">
        <v>0</v>
      </c>
      <c r="K9" s="753">
        <v>0</v>
      </c>
      <c r="L9" s="753">
        <v>0</v>
      </c>
      <c r="M9" s="753">
        <v>0</v>
      </c>
      <c r="N9" s="572">
        <f t="shared" ref="N9:N33" si="0">SUM(B9:M9)</f>
        <v>72.488</v>
      </c>
      <c r="O9" s="365">
        <v>0</v>
      </c>
      <c r="P9" s="365">
        <v>0</v>
      </c>
    </row>
    <row r="10" spans="1:16" ht="13.5">
      <c r="A10" s="308" t="s">
        <v>193</v>
      </c>
      <c r="B10" s="566">
        <v>44.155000000000001</v>
      </c>
      <c r="C10" s="567">
        <v>11.638999999999999</v>
      </c>
      <c r="D10" s="567">
        <f>131.908-C10-B10</f>
        <v>76.11399999999999</v>
      </c>
      <c r="E10" s="567">
        <v>45.377000000000002</v>
      </c>
      <c r="F10" s="664">
        <v>41.933999999999997</v>
      </c>
      <c r="G10" s="664">
        <v>48.670999999999999</v>
      </c>
      <c r="H10" s="664">
        <v>50.156999999999996</v>
      </c>
      <c r="I10" s="664">
        <v>0</v>
      </c>
      <c r="J10" s="664">
        <v>0</v>
      </c>
      <c r="K10" s="664">
        <v>0</v>
      </c>
      <c r="L10" s="664">
        <v>0</v>
      </c>
      <c r="M10" s="664">
        <v>0</v>
      </c>
      <c r="N10" s="572">
        <f t="shared" si="0"/>
        <v>318.04699999999997</v>
      </c>
    </row>
    <row r="11" spans="1:16" ht="14.25" customHeight="1">
      <c r="A11" s="308" t="s">
        <v>194</v>
      </c>
      <c r="B11" s="566">
        <v>5.3719999999999999</v>
      </c>
      <c r="C11" s="567">
        <v>5.4429999999999996</v>
      </c>
      <c r="D11" s="567">
        <f>16.812-C11-B11</f>
        <v>5.9970000000000017</v>
      </c>
      <c r="E11" s="567">
        <v>6.6950000000000003</v>
      </c>
      <c r="F11" s="664">
        <v>5.6539999999999999</v>
      </c>
      <c r="G11" s="664">
        <v>6.0540000000000003</v>
      </c>
      <c r="H11" s="664">
        <v>4.8209999999999997</v>
      </c>
      <c r="I11" s="664">
        <v>0</v>
      </c>
      <c r="J11" s="664">
        <v>0</v>
      </c>
      <c r="K11" s="664">
        <v>0</v>
      </c>
      <c r="L11" s="664">
        <v>0</v>
      </c>
      <c r="M11" s="664">
        <v>0</v>
      </c>
      <c r="N11" s="572">
        <f t="shared" si="0"/>
        <v>40.036000000000001</v>
      </c>
    </row>
    <row r="12" spans="1:16">
      <c r="A12" s="308" t="s">
        <v>195</v>
      </c>
      <c r="B12" s="566">
        <v>0</v>
      </c>
      <c r="C12" s="567">
        <v>0</v>
      </c>
      <c r="D12" s="567">
        <v>0</v>
      </c>
      <c r="E12" s="567">
        <v>0</v>
      </c>
      <c r="F12" s="664">
        <v>0</v>
      </c>
      <c r="G12" s="664">
        <v>0</v>
      </c>
      <c r="H12" s="664">
        <v>0</v>
      </c>
      <c r="I12" s="664">
        <v>0</v>
      </c>
      <c r="J12" s="664">
        <v>0</v>
      </c>
      <c r="K12" s="664">
        <v>0</v>
      </c>
      <c r="L12" s="664">
        <v>0</v>
      </c>
      <c r="M12" s="664">
        <v>0</v>
      </c>
      <c r="N12" s="572">
        <f t="shared" si="0"/>
        <v>0</v>
      </c>
    </row>
    <row r="13" spans="1:16">
      <c r="A13" s="308" t="s">
        <v>196</v>
      </c>
      <c r="B13" s="566">
        <v>6.5279999999999996</v>
      </c>
      <c r="C13" s="567">
        <v>9.1560000000000006</v>
      </c>
      <c r="D13" s="567">
        <f>25.223-C13-B13</f>
        <v>9.5390000000000015</v>
      </c>
      <c r="E13" s="567">
        <v>17.847000000000001</v>
      </c>
      <c r="F13" s="664">
        <v>16.437000000000001</v>
      </c>
      <c r="G13" s="664">
        <v>18.690999999999999</v>
      </c>
      <c r="H13" s="664">
        <v>15.734999999999999</v>
      </c>
      <c r="I13" s="664">
        <v>0</v>
      </c>
      <c r="J13" s="664">
        <v>0</v>
      </c>
      <c r="K13" s="664">
        <v>0</v>
      </c>
      <c r="L13" s="664">
        <v>0</v>
      </c>
      <c r="M13" s="664">
        <v>0</v>
      </c>
      <c r="N13" s="572">
        <f t="shared" si="0"/>
        <v>93.933000000000007</v>
      </c>
    </row>
    <row r="14" spans="1:16">
      <c r="A14" s="308" t="s">
        <v>197</v>
      </c>
      <c r="B14" s="593">
        <v>10.265000000000001</v>
      </c>
      <c r="C14" s="594">
        <v>9.8539999999999992</v>
      </c>
      <c r="D14" s="594">
        <v>13.487</v>
      </c>
      <c r="E14" s="594">
        <v>12.321999999999999</v>
      </c>
      <c r="F14" s="665">
        <v>28.375</v>
      </c>
      <c r="G14" s="665">
        <v>11.579000000000001</v>
      </c>
      <c r="H14" s="665">
        <v>25.823</v>
      </c>
      <c r="I14" s="665">
        <v>0</v>
      </c>
      <c r="J14" s="665">
        <v>0</v>
      </c>
      <c r="K14" s="665">
        <v>0</v>
      </c>
      <c r="L14" s="665">
        <v>0</v>
      </c>
      <c r="M14" s="665">
        <v>0</v>
      </c>
      <c r="N14" s="598">
        <f t="shared" si="0"/>
        <v>111.70500000000001</v>
      </c>
    </row>
    <row r="15" spans="1:16">
      <c r="A15" s="308" t="s">
        <v>198</v>
      </c>
      <c r="B15" s="593">
        <v>22.998999999999999</v>
      </c>
      <c r="C15" s="594">
        <v>17.649999999999999</v>
      </c>
      <c r="D15" s="594">
        <f>90.729-C15-B15</f>
        <v>50.080000000000013</v>
      </c>
      <c r="E15" s="594">
        <v>21.035</v>
      </c>
      <c r="F15" s="665">
        <v>41.122999999999998</v>
      </c>
      <c r="G15" s="665">
        <v>14.077</v>
      </c>
      <c r="H15" s="665">
        <v>15.606</v>
      </c>
      <c r="I15" s="665">
        <v>0</v>
      </c>
      <c r="J15" s="665">
        <v>0</v>
      </c>
      <c r="K15" s="665">
        <v>0</v>
      </c>
      <c r="L15" s="665">
        <v>0</v>
      </c>
      <c r="M15" s="665">
        <v>0</v>
      </c>
      <c r="N15" s="598">
        <f t="shared" si="0"/>
        <v>182.57</v>
      </c>
    </row>
    <row r="16" spans="1:16">
      <c r="A16" s="308" t="s">
        <v>160</v>
      </c>
      <c r="B16" s="593">
        <v>11.461</v>
      </c>
      <c r="C16" s="594">
        <v>10.833</v>
      </c>
      <c r="D16" s="594">
        <f>35.334-C16-B16</f>
        <v>13.040000000000004</v>
      </c>
      <c r="E16" s="594">
        <v>20.324000000000002</v>
      </c>
      <c r="F16" s="665">
        <v>12.916</v>
      </c>
      <c r="G16" s="665">
        <v>14.782999999999999</v>
      </c>
      <c r="H16" s="665">
        <v>13.433</v>
      </c>
      <c r="I16" s="665">
        <v>0</v>
      </c>
      <c r="J16" s="665">
        <v>0</v>
      </c>
      <c r="K16" s="665">
        <v>0</v>
      </c>
      <c r="L16" s="665">
        <v>0</v>
      </c>
      <c r="M16" s="665">
        <v>0</v>
      </c>
      <c r="N16" s="598">
        <f t="shared" si="0"/>
        <v>96.789999999999992</v>
      </c>
    </row>
    <row r="17" spans="1:15">
      <c r="A17" s="308" t="s">
        <v>161</v>
      </c>
      <c r="B17" s="593">
        <v>7.4180000000000001</v>
      </c>
      <c r="C17" s="594">
        <v>9.0180000000000007</v>
      </c>
      <c r="D17" s="594">
        <f>26.365-C17-B17</f>
        <v>9.9289999999999985</v>
      </c>
      <c r="E17" s="594">
        <v>25.263000000000002</v>
      </c>
      <c r="F17" s="665">
        <v>7.6420000000000003</v>
      </c>
      <c r="G17" s="665">
        <v>10.083</v>
      </c>
      <c r="H17" s="665">
        <v>8.7910000000000004</v>
      </c>
      <c r="I17" s="665">
        <v>0</v>
      </c>
      <c r="J17" s="665">
        <v>0</v>
      </c>
      <c r="K17" s="665">
        <v>0</v>
      </c>
      <c r="L17" s="665">
        <v>0</v>
      </c>
      <c r="M17" s="665">
        <v>0</v>
      </c>
      <c r="N17" s="598">
        <f t="shared" si="0"/>
        <v>78.144000000000005</v>
      </c>
    </row>
    <row r="18" spans="1:15">
      <c r="A18" s="308" t="s">
        <v>199</v>
      </c>
      <c r="B18" s="593">
        <v>0</v>
      </c>
      <c r="C18" s="594">
        <v>0</v>
      </c>
      <c r="D18" s="594">
        <v>0</v>
      </c>
      <c r="E18" s="594">
        <v>0</v>
      </c>
      <c r="F18" s="665">
        <v>0</v>
      </c>
      <c r="G18" s="665">
        <v>0</v>
      </c>
      <c r="H18" s="665">
        <v>0</v>
      </c>
      <c r="I18" s="665">
        <v>0</v>
      </c>
      <c r="J18" s="665">
        <v>0</v>
      </c>
      <c r="K18" s="665">
        <v>0</v>
      </c>
      <c r="L18" s="665">
        <v>0</v>
      </c>
      <c r="M18" s="665">
        <v>0</v>
      </c>
      <c r="N18" s="598">
        <f t="shared" si="0"/>
        <v>0</v>
      </c>
    </row>
    <row r="19" spans="1:15" ht="13.5">
      <c r="A19" s="308" t="s">
        <v>346</v>
      </c>
      <c r="B19" s="593">
        <v>1.681</v>
      </c>
      <c r="C19" s="594">
        <v>1.873</v>
      </c>
      <c r="D19" s="594">
        <f>6.233-C19-B19</f>
        <v>2.6789999999999994</v>
      </c>
      <c r="E19" s="594">
        <v>2.4420000000000002</v>
      </c>
      <c r="F19" s="665">
        <v>2.0979999999999999</v>
      </c>
      <c r="G19" s="665">
        <v>0.77700000000000002</v>
      </c>
      <c r="H19" s="665">
        <v>-1.9870000000000001</v>
      </c>
      <c r="I19" s="665">
        <v>0</v>
      </c>
      <c r="J19" s="665">
        <v>0</v>
      </c>
      <c r="K19" s="665">
        <v>0</v>
      </c>
      <c r="L19" s="665">
        <v>0</v>
      </c>
      <c r="M19" s="665">
        <v>0</v>
      </c>
      <c r="N19" s="598">
        <f t="shared" si="0"/>
        <v>9.5629999999999988</v>
      </c>
    </row>
    <row r="20" spans="1:15" s="213" customFormat="1">
      <c r="A20" s="407" t="s">
        <v>132</v>
      </c>
      <c r="B20" s="593">
        <v>0</v>
      </c>
      <c r="C20" s="594">
        <v>0</v>
      </c>
      <c r="D20" s="594">
        <v>0</v>
      </c>
      <c r="E20" s="594">
        <v>0</v>
      </c>
      <c r="F20" s="665">
        <v>0</v>
      </c>
      <c r="G20" s="665">
        <v>0</v>
      </c>
      <c r="H20" s="665">
        <v>0</v>
      </c>
      <c r="I20" s="665">
        <v>0</v>
      </c>
      <c r="J20" s="665">
        <v>0</v>
      </c>
      <c r="K20" s="665">
        <v>0</v>
      </c>
      <c r="L20" s="665">
        <v>0</v>
      </c>
      <c r="M20" s="665">
        <v>0</v>
      </c>
      <c r="N20" s="598">
        <f t="shared" si="0"/>
        <v>0</v>
      </c>
    </row>
    <row r="21" spans="1:15">
      <c r="A21" s="407" t="s">
        <v>200</v>
      </c>
      <c r="B21" s="593">
        <v>111.34399999999999</v>
      </c>
      <c r="C21" s="594">
        <v>1.498</v>
      </c>
      <c r="D21" s="594">
        <f>114.985-C21-B21</f>
        <v>2.1430000000000007</v>
      </c>
      <c r="E21" s="594">
        <v>1.9530000000000001</v>
      </c>
      <c r="F21" s="665">
        <v>1.6779999999999999</v>
      </c>
      <c r="G21" s="665">
        <v>0.622</v>
      </c>
      <c r="H21" s="665">
        <v>3.35</v>
      </c>
      <c r="I21" s="665">
        <v>0</v>
      </c>
      <c r="J21" s="665">
        <v>0</v>
      </c>
      <c r="K21" s="665">
        <v>0</v>
      </c>
      <c r="L21" s="665">
        <v>0</v>
      </c>
      <c r="M21" s="665">
        <v>0</v>
      </c>
      <c r="N21" s="598">
        <f t="shared" si="0"/>
        <v>122.58799999999999</v>
      </c>
    </row>
    <row r="22" spans="1:15" ht="14.5">
      <c r="A22" s="308" t="s">
        <v>263</v>
      </c>
      <c r="B22" s="593">
        <v>2.75</v>
      </c>
      <c r="C22" s="594">
        <v>0</v>
      </c>
      <c r="D22" s="594">
        <f>43.162-C22-B22</f>
        <v>40.411999999999999</v>
      </c>
      <c r="E22" s="594">
        <v>1.641</v>
      </c>
      <c r="F22" s="665">
        <v>43.448999999999998</v>
      </c>
      <c r="G22" s="665">
        <v>130.79300000000001</v>
      </c>
      <c r="H22" s="665">
        <v>27.632000000000001</v>
      </c>
      <c r="I22" s="665">
        <v>0</v>
      </c>
      <c r="J22" s="665">
        <v>0</v>
      </c>
      <c r="K22" s="665">
        <v>0</v>
      </c>
      <c r="L22" s="665">
        <v>0</v>
      </c>
      <c r="M22" s="665">
        <v>0</v>
      </c>
      <c r="N22" s="598">
        <f t="shared" si="0"/>
        <v>246.67700000000002</v>
      </c>
    </row>
    <row r="23" spans="1:15">
      <c r="A23" s="308" t="s">
        <v>201</v>
      </c>
      <c r="B23" s="593">
        <v>37.207999999999998</v>
      </c>
      <c r="C23" s="594">
        <v>42.548000000000002</v>
      </c>
      <c r="D23" s="594">
        <v>57.579000000000001</v>
      </c>
      <c r="E23" s="594">
        <v>51.548999999999999</v>
      </c>
      <c r="F23" s="665">
        <v>49.262999999999998</v>
      </c>
      <c r="G23" s="665">
        <v>43.06</v>
      </c>
      <c r="H23" s="665">
        <v>37.057000000000002</v>
      </c>
      <c r="I23" s="665">
        <v>0</v>
      </c>
      <c r="J23" s="665">
        <v>0</v>
      </c>
      <c r="K23" s="665">
        <v>0</v>
      </c>
      <c r="L23" s="665">
        <v>0</v>
      </c>
      <c r="M23" s="665">
        <v>0</v>
      </c>
      <c r="N23" s="598">
        <f t="shared" si="0"/>
        <v>318.26400000000001</v>
      </c>
    </row>
    <row r="24" spans="1:15">
      <c r="A24" s="308" t="s">
        <v>264</v>
      </c>
      <c r="B24" s="593">
        <v>120.524</v>
      </c>
      <c r="C24" s="594">
        <v>107.79600000000001</v>
      </c>
      <c r="D24" s="594">
        <f>380.534-C24-B24</f>
        <v>152.214</v>
      </c>
      <c r="E24" s="594">
        <v>150.024</v>
      </c>
      <c r="F24" s="665">
        <v>74.804000000000002</v>
      </c>
      <c r="G24" s="665">
        <v>506.28399999999999</v>
      </c>
      <c r="H24" s="665">
        <v>38.850999999999999</v>
      </c>
      <c r="I24" s="665">
        <v>0</v>
      </c>
      <c r="J24" s="665">
        <v>0</v>
      </c>
      <c r="K24" s="665">
        <v>0</v>
      </c>
      <c r="L24" s="665">
        <v>0</v>
      </c>
      <c r="M24" s="665">
        <v>0</v>
      </c>
      <c r="N24" s="598">
        <f t="shared" si="0"/>
        <v>1150.4969999999998</v>
      </c>
    </row>
    <row r="25" spans="1:15" ht="13.5">
      <c r="A25" s="308" t="s">
        <v>265</v>
      </c>
      <c r="B25" s="593">
        <v>23.262</v>
      </c>
      <c r="C25" s="594">
        <v>81.326999999999998</v>
      </c>
      <c r="D25" s="594">
        <f>174.323-C25-B25</f>
        <v>69.734000000000009</v>
      </c>
      <c r="E25" s="594">
        <v>49.412999999999997</v>
      </c>
      <c r="F25" s="665">
        <v>35.180999999999997</v>
      </c>
      <c r="G25" s="665">
        <v>33.500999999999998</v>
      </c>
      <c r="H25" s="665">
        <v>88.138999999999996</v>
      </c>
      <c r="I25" s="665">
        <v>0</v>
      </c>
      <c r="J25" s="665">
        <v>0</v>
      </c>
      <c r="K25" s="665">
        <v>0</v>
      </c>
      <c r="L25" s="665">
        <v>0</v>
      </c>
      <c r="M25" s="665">
        <v>0</v>
      </c>
      <c r="N25" s="598">
        <f t="shared" si="0"/>
        <v>380.55699999999996</v>
      </c>
    </row>
    <row r="26" spans="1:15" s="223" customFormat="1">
      <c r="A26" s="308" t="s">
        <v>171</v>
      </c>
      <c r="B26" s="593">
        <v>3.379</v>
      </c>
      <c r="C26" s="594">
        <v>24.798999999999999</v>
      </c>
      <c r="D26" s="594">
        <f>28.178-C26-B26</f>
        <v>0</v>
      </c>
      <c r="E26" s="594">
        <v>0</v>
      </c>
      <c r="F26" s="665">
        <v>0</v>
      </c>
      <c r="G26" s="665">
        <v>103.866</v>
      </c>
      <c r="H26" s="665">
        <v>0</v>
      </c>
      <c r="I26" s="665">
        <v>0</v>
      </c>
      <c r="J26" s="665">
        <v>0</v>
      </c>
      <c r="K26" s="665">
        <v>0</v>
      </c>
      <c r="L26" s="665">
        <v>0</v>
      </c>
      <c r="M26" s="665">
        <v>0</v>
      </c>
      <c r="N26" s="598">
        <f t="shared" si="0"/>
        <v>132.04400000000001</v>
      </c>
      <c r="O26" s="211"/>
    </row>
    <row r="27" spans="1:15" s="223" customFormat="1" ht="13.5">
      <c r="A27" s="408" t="s">
        <v>295</v>
      </c>
      <c r="B27" s="593">
        <v>55.295999999999999</v>
      </c>
      <c r="C27" s="594">
        <v>-33.177999999999997</v>
      </c>
      <c r="D27" s="594">
        <v>56.866</v>
      </c>
      <c r="E27" s="594">
        <v>0</v>
      </c>
      <c r="F27" s="665">
        <v>8.9420000000000002</v>
      </c>
      <c r="G27" s="665">
        <v>59.112000000000002</v>
      </c>
      <c r="H27" s="665">
        <v>0</v>
      </c>
      <c r="I27" s="665">
        <v>0</v>
      </c>
      <c r="J27" s="665">
        <v>0</v>
      </c>
      <c r="K27" s="665">
        <v>0</v>
      </c>
      <c r="L27" s="665">
        <v>0</v>
      </c>
      <c r="M27" s="665">
        <v>0</v>
      </c>
      <c r="N27" s="598">
        <f t="shared" si="0"/>
        <v>147.03800000000001</v>
      </c>
      <c r="O27" s="211"/>
    </row>
    <row r="28" spans="1:15" s="223" customFormat="1" ht="14.9" customHeight="1">
      <c r="A28" s="308" t="s">
        <v>347</v>
      </c>
      <c r="B28" s="593">
        <v>22.978999999999999</v>
      </c>
      <c r="C28" s="594">
        <v>1.4</v>
      </c>
      <c r="D28" s="594">
        <v>1.101</v>
      </c>
      <c r="E28" s="594">
        <v>1.042</v>
      </c>
      <c r="F28" s="665">
        <v>0.94699999999999995</v>
      </c>
      <c r="G28" s="665">
        <v>0.91600000000000004</v>
      </c>
      <c r="H28" s="665">
        <v>-0.193</v>
      </c>
      <c r="I28" s="665">
        <v>0</v>
      </c>
      <c r="J28" s="665">
        <v>0</v>
      </c>
      <c r="K28" s="665">
        <v>0</v>
      </c>
      <c r="L28" s="665">
        <v>0</v>
      </c>
      <c r="M28" s="665">
        <v>0</v>
      </c>
      <c r="N28" s="598">
        <f t="shared" si="0"/>
        <v>28.191999999999997</v>
      </c>
    </row>
    <row r="29" spans="1:15" s="223" customFormat="1" ht="13.5">
      <c r="A29" s="308" t="s">
        <v>266</v>
      </c>
      <c r="B29" s="593">
        <v>8.077</v>
      </c>
      <c r="C29" s="594">
        <v>40.624000000000002</v>
      </c>
      <c r="D29" s="594">
        <v>2.5049999999999999</v>
      </c>
      <c r="E29" s="594">
        <v>10.302</v>
      </c>
      <c r="F29" s="665">
        <v>0.998</v>
      </c>
      <c r="G29" s="665">
        <v>0.20699999999999999</v>
      </c>
      <c r="H29" s="665">
        <v>1.411</v>
      </c>
      <c r="I29" s="665">
        <v>0</v>
      </c>
      <c r="J29" s="665">
        <v>0</v>
      </c>
      <c r="K29" s="665">
        <v>0</v>
      </c>
      <c r="L29" s="665">
        <v>0</v>
      </c>
      <c r="M29" s="665">
        <v>0</v>
      </c>
      <c r="N29" s="598">
        <f t="shared" si="0"/>
        <v>64.123999999999995</v>
      </c>
    </row>
    <row r="30" spans="1:15" s="223" customFormat="1" ht="13.5">
      <c r="A30" s="308" t="s">
        <v>202</v>
      </c>
      <c r="B30" s="593">
        <v>7.1999999999999995E-2</v>
      </c>
      <c r="C30" s="594">
        <v>1.6519999999999999</v>
      </c>
      <c r="D30" s="594">
        <v>0.84399999999999997</v>
      </c>
      <c r="E30" s="594">
        <v>8.3000000000000004E-2</v>
      </c>
      <c r="F30" s="665">
        <v>0.85599999999999998</v>
      </c>
      <c r="G30" s="665">
        <v>1.637</v>
      </c>
      <c r="H30" s="665">
        <v>0.159</v>
      </c>
      <c r="I30" s="665">
        <v>0</v>
      </c>
      <c r="J30" s="665">
        <v>0</v>
      </c>
      <c r="K30" s="665">
        <v>0</v>
      </c>
      <c r="L30" s="665">
        <v>0</v>
      </c>
      <c r="M30" s="665">
        <v>0</v>
      </c>
      <c r="N30" s="598">
        <f t="shared" si="0"/>
        <v>5.3029999999999999</v>
      </c>
    </row>
    <row r="31" spans="1:15" s="223" customFormat="1">
      <c r="A31" s="308" t="s">
        <v>203</v>
      </c>
      <c r="B31" s="593">
        <v>11.85</v>
      </c>
      <c r="C31" s="594">
        <v>31.484999999999999</v>
      </c>
      <c r="D31" s="594">
        <v>36.584000000000003</v>
      </c>
      <c r="E31" s="594">
        <v>25.762</v>
      </c>
      <c r="F31" s="665">
        <v>10.907</v>
      </c>
      <c r="G31" s="665">
        <v>9.8930000000000007</v>
      </c>
      <c r="H31" s="665">
        <v>8.8230000000000004</v>
      </c>
      <c r="I31" s="665">
        <v>0</v>
      </c>
      <c r="J31" s="665">
        <v>0</v>
      </c>
      <c r="K31" s="665">
        <v>0</v>
      </c>
      <c r="L31" s="665">
        <v>0</v>
      </c>
      <c r="M31" s="665">
        <v>0</v>
      </c>
      <c r="N31" s="598">
        <f t="shared" si="0"/>
        <v>135.304</v>
      </c>
    </row>
    <row r="32" spans="1:15" s="223" customFormat="1" ht="13.5">
      <c r="A32" s="308" t="s">
        <v>294</v>
      </c>
      <c r="B32" s="593">
        <v>3.2120000000000002</v>
      </c>
      <c r="C32" s="594">
        <v>-50.23</v>
      </c>
      <c r="D32" s="594">
        <v>-2.1789999999999998</v>
      </c>
      <c r="E32" s="594">
        <v>0</v>
      </c>
      <c r="F32" s="665">
        <v>58.034999999999997</v>
      </c>
      <c r="G32" s="665">
        <v>35.96</v>
      </c>
      <c r="H32" s="665">
        <v>163.94399999999999</v>
      </c>
      <c r="I32" s="665">
        <v>0</v>
      </c>
      <c r="J32" s="665">
        <v>0</v>
      </c>
      <c r="K32" s="665">
        <v>0</v>
      </c>
      <c r="L32" s="665">
        <v>0</v>
      </c>
      <c r="M32" s="665">
        <v>0</v>
      </c>
      <c r="N32" s="598">
        <f t="shared" si="0"/>
        <v>208.74199999999999</v>
      </c>
    </row>
    <row r="33" spans="1:15" s="223" customFormat="1">
      <c r="A33" s="308" t="s">
        <v>267</v>
      </c>
      <c r="B33" s="595">
        <v>0</v>
      </c>
      <c r="C33" s="596">
        <v>544.17999999999995</v>
      </c>
      <c r="D33" s="596">
        <v>285.53699999999998</v>
      </c>
      <c r="E33" s="596">
        <v>285.32600000000002</v>
      </c>
      <c r="F33" s="666">
        <v>185.32599999999999</v>
      </c>
      <c r="G33" s="666">
        <v>235.32599999999999</v>
      </c>
      <c r="H33" s="666">
        <v>248.40199999999999</v>
      </c>
      <c r="I33" s="666">
        <v>0</v>
      </c>
      <c r="J33" s="666">
        <v>0</v>
      </c>
      <c r="K33" s="666">
        <v>0</v>
      </c>
      <c r="L33" s="666">
        <v>0</v>
      </c>
      <c r="M33" s="666">
        <v>0</v>
      </c>
      <c r="N33" s="598">
        <f t="shared" si="0"/>
        <v>1784.097</v>
      </c>
    </row>
    <row r="34" spans="1:15" ht="12" thickBot="1">
      <c r="A34" s="315" t="s">
        <v>204</v>
      </c>
      <c r="B34" s="597">
        <f t="shared" ref="B34:M34" si="1">SUM(B9:B33)</f>
        <v>515.26599999999996</v>
      </c>
      <c r="C34" s="568">
        <f t="shared" si="1"/>
        <v>877.73099999999999</v>
      </c>
      <c r="D34" s="568">
        <f t="shared" si="1"/>
        <v>895.05299999999988</v>
      </c>
      <c r="E34" s="568">
        <f t="shared" si="1"/>
        <v>739.02800000000002</v>
      </c>
      <c r="F34" s="667">
        <f t="shared" si="1"/>
        <v>638.91599999999994</v>
      </c>
      <c r="G34" s="667">
        <f t="shared" si="1"/>
        <v>1299.164</v>
      </c>
      <c r="H34" s="667">
        <f t="shared" si="1"/>
        <v>761.54500000000007</v>
      </c>
      <c r="I34" s="667">
        <f t="shared" si="1"/>
        <v>0</v>
      </c>
      <c r="J34" s="667">
        <f t="shared" si="1"/>
        <v>0</v>
      </c>
      <c r="K34" s="667">
        <f t="shared" si="1"/>
        <v>0</v>
      </c>
      <c r="L34" s="667">
        <f t="shared" si="1"/>
        <v>0</v>
      </c>
      <c r="M34" s="667">
        <f t="shared" si="1"/>
        <v>0</v>
      </c>
      <c r="N34" s="668">
        <f>SUM(N9:N33)</f>
        <v>5726.7029999999995</v>
      </c>
    </row>
    <row r="35" spans="1:15">
      <c r="A35" s="308"/>
      <c r="B35" s="593"/>
      <c r="C35" s="569"/>
      <c r="D35" s="569"/>
      <c r="E35" s="569"/>
      <c r="F35" s="669"/>
      <c r="G35" s="669"/>
      <c r="H35" s="669"/>
      <c r="I35" s="669"/>
      <c r="J35" s="669"/>
      <c r="K35" s="669"/>
      <c r="L35" s="669"/>
      <c r="M35" s="669"/>
      <c r="N35" s="598"/>
    </row>
    <row r="36" spans="1:15" s="223" customFormat="1">
      <c r="A36" s="307" t="s">
        <v>205</v>
      </c>
      <c r="B36" s="593"/>
      <c r="C36" s="569"/>
      <c r="D36" s="569"/>
      <c r="E36" s="569"/>
      <c r="F36" s="669"/>
      <c r="G36" s="669"/>
      <c r="H36" s="669"/>
      <c r="I36" s="669"/>
      <c r="J36" s="669"/>
      <c r="K36" s="669"/>
      <c r="L36" s="669"/>
      <c r="M36" s="669"/>
      <c r="N36" s="598"/>
      <c r="O36" s="211"/>
    </row>
    <row r="37" spans="1:15">
      <c r="A37" s="308" t="s">
        <v>192</v>
      </c>
      <c r="B37" s="594">
        <v>124.98</v>
      </c>
      <c r="C37" s="594">
        <v>0</v>
      </c>
      <c r="D37" s="594">
        <f>124.98-C37-B37</f>
        <v>0</v>
      </c>
      <c r="E37" s="594">
        <v>0</v>
      </c>
      <c r="F37" s="665">
        <v>0</v>
      </c>
      <c r="G37" s="665">
        <v>0</v>
      </c>
      <c r="H37" s="665">
        <v>0.08</v>
      </c>
      <c r="I37" s="665">
        <v>0</v>
      </c>
      <c r="J37" s="665">
        <v>0</v>
      </c>
      <c r="K37" s="665">
        <v>0</v>
      </c>
      <c r="L37" s="665">
        <v>0</v>
      </c>
      <c r="M37" s="665">
        <v>0</v>
      </c>
      <c r="N37" s="598">
        <f t="shared" ref="N37:N48" si="2">SUM(B37:M37)</f>
        <v>125.06</v>
      </c>
    </row>
    <row r="38" spans="1:15" s="213" customFormat="1" ht="14.5">
      <c r="A38" s="309" t="s">
        <v>206</v>
      </c>
      <c r="B38" s="594">
        <v>0.24199999999999999</v>
      </c>
      <c r="C38" s="594">
        <v>0.216</v>
      </c>
      <c r="D38" s="594">
        <f>0.782-C38-B38</f>
        <v>0.32400000000000007</v>
      </c>
      <c r="E38" s="594">
        <v>0</v>
      </c>
      <c r="F38" s="665">
        <v>0.2</v>
      </c>
      <c r="G38" s="665">
        <v>0</v>
      </c>
      <c r="H38" s="665">
        <v>0</v>
      </c>
      <c r="I38" s="665">
        <v>0</v>
      </c>
      <c r="J38" s="665">
        <v>0</v>
      </c>
      <c r="K38" s="665">
        <v>0</v>
      </c>
      <c r="L38" s="665">
        <v>0</v>
      </c>
      <c r="M38" s="665">
        <v>0</v>
      </c>
      <c r="N38" s="598">
        <f t="shared" si="2"/>
        <v>0.98199999999999998</v>
      </c>
    </row>
    <row r="39" spans="1:15" ht="13.5">
      <c r="A39" s="308" t="s">
        <v>310</v>
      </c>
      <c r="B39" s="594">
        <v>18.131</v>
      </c>
      <c r="C39" s="594">
        <v>0</v>
      </c>
      <c r="D39" s="594">
        <f>37.401-C39-B39</f>
        <v>19.270000000000003</v>
      </c>
      <c r="E39" s="594">
        <v>0</v>
      </c>
      <c r="F39" s="665">
        <v>1.9</v>
      </c>
      <c r="G39" s="665">
        <f>2.85-0.783</f>
        <v>2.0670000000000002</v>
      </c>
      <c r="H39" s="665">
        <v>2.75</v>
      </c>
      <c r="I39" s="665">
        <v>0</v>
      </c>
      <c r="J39" s="665">
        <v>0</v>
      </c>
      <c r="K39" s="665">
        <v>0</v>
      </c>
      <c r="L39" s="665">
        <v>0</v>
      </c>
      <c r="M39" s="665">
        <v>0</v>
      </c>
      <c r="N39" s="598">
        <f t="shared" si="2"/>
        <v>44.118000000000002</v>
      </c>
    </row>
    <row r="40" spans="1:15">
      <c r="A40" s="308" t="s">
        <v>207</v>
      </c>
      <c r="B40" s="594">
        <v>0</v>
      </c>
      <c r="C40" s="594">
        <v>0</v>
      </c>
      <c r="D40" s="594">
        <v>0</v>
      </c>
      <c r="E40" s="594">
        <v>3.0630000000000002</v>
      </c>
      <c r="F40" s="665">
        <v>0</v>
      </c>
      <c r="G40" s="665">
        <v>0</v>
      </c>
      <c r="H40" s="665">
        <v>15.327999999999999</v>
      </c>
      <c r="I40" s="665">
        <v>0</v>
      </c>
      <c r="J40" s="665">
        <v>0</v>
      </c>
      <c r="K40" s="665">
        <v>0</v>
      </c>
      <c r="L40" s="665">
        <v>0</v>
      </c>
      <c r="M40" s="665">
        <v>0</v>
      </c>
      <c r="N40" s="598">
        <f t="shared" si="2"/>
        <v>18.390999999999998</v>
      </c>
    </row>
    <row r="41" spans="1:15" ht="13.5">
      <c r="A41" s="308" t="s">
        <v>348</v>
      </c>
      <c r="B41" s="594">
        <v>86.581000000000003</v>
      </c>
      <c r="C41" s="594">
        <v>95.628</v>
      </c>
      <c r="D41" s="594">
        <v>254.01</v>
      </c>
      <c r="E41" s="594">
        <v>11.034000000000001</v>
      </c>
      <c r="F41" s="665">
        <v>-47.726999999999997</v>
      </c>
      <c r="G41" s="665">
        <v>308.97899999999998</v>
      </c>
      <c r="H41" s="665">
        <v>-10.928000000000001</v>
      </c>
      <c r="I41" s="665">
        <v>0</v>
      </c>
      <c r="J41" s="665">
        <v>0</v>
      </c>
      <c r="K41" s="665">
        <v>0</v>
      </c>
      <c r="L41" s="665">
        <v>0</v>
      </c>
      <c r="M41" s="665">
        <v>0</v>
      </c>
      <c r="N41" s="598">
        <f t="shared" si="2"/>
        <v>697.577</v>
      </c>
    </row>
    <row r="42" spans="1:15">
      <c r="A42" s="309" t="s">
        <v>208</v>
      </c>
      <c r="B42" s="594">
        <v>18.05</v>
      </c>
      <c r="C42" s="594">
        <v>15.7</v>
      </c>
      <c r="D42" s="594">
        <f>49.05-C42-B42</f>
        <v>15.299999999999994</v>
      </c>
      <c r="E42" s="594">
        <v>20.05</v>
      </c>
      <c r="F42" s="665">
        <v>5.5</v>
      </c>
      <c r="G42" s="665">
        <v>13.75</v>
      </c>
      <c r="H42" s="665">
        <v>15.45</v>
      </c>
      <c r="I42" s="665">
        <v>0</v>
      </c>
      <c r="J42" s="665">
        <v>0</v>
      </c>
      <c r="K42" s="665">
        <v>0</v>
      </c>
      <c r="L42" s="665">
        <v>0</v>
      </c>
      <c r="M42" s="665">
        <v>0</v>
      </c>
      <c r="N42" s="598">
        <f t="shared" si="2"/>
        <v>103.8</v>
      </c>
    </row>
    <row r="43" spans="1:15">
      <c r="A43" s="308" t="s">
        <v>161</v>
      </c>
      <c r="B43" s="594">
        <v>0</v>
      </c>
      <c r="C43" s="594">
        <v>0</v>
      </c>
      <c r="D43" s="594">
        <f>0.276-C43-B43</f>
        <v>0.27600000000000002</v>
      </c>
      <c r="E43" s="594">
        <v>0</v>
      </c>
      <c r="F43" s="665">
        <v>0</v>
      </c>
      <c r="G43" s="665">
        <v>0</v>
      </c>
      <c r="H43" s="665">
        <v>0</v>
      </c>
      <c r="I43" s="665">
        <v>0</v>
      </c>
      <c r="J43" s="665">
        <v>0</v>
      </c>
      <c r="K43" s="665">
        <v>0</v>
      </c>
      <c r="L43" s="665">
        <v>0</v>
      </c>
      <c r="M43" s="665">
        <v>0</v>
      </c>
      <c r="N43" s="598">
        <f t="shared" si="2"/>
        <v>0.27600000000000002</v>
      </c>
    </row>
    <row r="44" spans="1:15">
      <c r="A44" s="308" t="s">
        <v>199</v>
      </c>
      <c r="B44" s="594">
        <v>0</v>
      </c>
      <c r="C44" s="594">
        <v>0</v>
      </c>
      <c r="D44" s="594">
        <v>0</v>
      </c>
      <c r="E44" s="594">
        <v>0</v>
      </c>
      <c r="F44" s="665">
        <v>0</v>
      </c>
      <c r="G44" s="665">
        <v>0</v>
      </c>
      <c r="H44" s="665">
        <v>0</v>
      </c>
      <c r="I44" s="665">
        <v>0</v>
      </c>
      <c r="J44" s="665">
        <v>0</v>
      </c>
      <c r="K44" s="665">
        <v>0</v>
      </c>
      <c r="L44" s="665">
        <v>0</v>
      </c>
      <c r="M44" s="665">
        <v>0</v>
      </c>
      <c r="N44" s="598">
        <f t="shared" si="2"/>
        <v>0</v>
      </c>
    </row>
    <row r="45" spans="1:15">
      <c r="A45" s="407" t="s">
        <v>209</v>
      </c>
      <c r="B45" s="594">
        <v>0</v>
      </c>
      <c r="C45" s="594">
        <v>0</v>
      </c>
      <c r="D45" s="594">
        <v>0</v>
      </c>
      <c r="E45" s="594">
        <v>0</v>
      </c>
      <c r="F45" s="665">
        <v>0</v>
      </c>
      <c r="G45" s="665">
        <v>0</v>
      </c>
      <c r="H45" s="665">
        <v>0</v>
      </c>
      <c r="I45" s="665">
        <v>0</v>
      </c>
      <c r="J45" s="665">
        <v>0</v>
      </c>
      <c r="K45" s="665">
        <v>0</v>
      </c>
      <c r="L45" s="665">
        <v>0</v>
      </c>
      <c r="M45" s="665">
        <v>0</v>
      </c>
      <c r="N45" s="598">
        <f t="shared" si="2"/>
        <v>0</v>
      </c>
    </row>
    <row r="46" spans="1:15" ht="13.5">
      <c r="A46" s="407" t="s">
        <v>309</v>
      </c>
      <c r="B46" s="594">
        <v>0</v>
      </c>
      <c r="C46" s="594">
        <v>0</v>
      </c>
      <c r="D46" s="594">
        <v>0</v>
      </c>
      <c r="E46" s="594">
        <v>0</v>
      </c>
      <c r="F46" s="665">
        <v>0.54</v>
      </c>
      <c r="G46" s="665">
        <v>0</v>
      </c>
      <c r="H46" s="665">
        <v>-0.54</v>
      </c>
      <c r="I46" s="665">
        <v>0</v>
      </c>
      <c r="J46" s="665">
        <v>0</v>
      </c>
      <c r="K46" s="665">
        <v>0</v>
      </c>
      <c r="L46" s="665">
        <v>0</v>
      </c>
      <c r="M46" s="665">
        <v>0</v>
      </c>
      <c r="N46" s="598">
        <f t="shared" si="2"/>
        <v>0</v>
      </c>
    </row>
    <row r="47" spans="1:15" s="645" customFormat="1" ht="13.5">
      <c r="A47" s="646" t="s">
        <v>333</v>
      </c>
      <c r="B47" s="648">
        <v>0</v>
      </c>
      <c r="C47" s="648">
        <v>0</v>
      </c>
      <c r="D47" s="648">
        <v>0</v>
      </c>
      <c r="E47" s="648">
        <v>0</v>
      </c>
      <c r="F47" s="665">
        <v>0</v>
      </c>
      <c r="G47" s="665">
        <v>-0.54</v>
      </c>
      <c r="H47" s="665">
        <v>0.54</v>
      </c>
      <c r="I47" s="665">
        <v>0</v>
      </c>
      <c r="J47" s="665">
        <v>0</v>
      </c>
      <c r="K47" s="665">
        <v>0</v>
      </c>
      <c r="L47" s="665">
        <v>0</v>
      </c>
      <c r="M47" s="665">
        <v>0</v>
      </c>
      <c r="N47" s="598">
        <f t="shared" si="2"/>
        <v>0</v>
      </c>
    </row>
    <row r="48" spans="1:15">
      <c r="A48" s="308" t="s">
        <v>210</v>
      </c>
      <c r="B48" s="596">
        <v>0</v>
      </c>
      <c r="C48" s="596">
        <v>0</v>
      </c>
      <c r="D48" s="596">
        <v>0</v>
      </c>
      <c r="E48" s="596">
        <v>0</v>
      </c>
      <c r="F48" s="666">
        <v>0</v>
      </c>
      <c r="G48" s="666">
        <v>0</v>
      </c>
      <c r="H48" s="666">
        <v>0</v>
      </c>
      <c r="I48" s="666">
        <v>0</v>
      </c>
      <c r="J48" s="666">
        <v>0</v>
      </c>
      <c r="K48" s="666">
        <v>0</v>
      </c>
      <c r="L48" s="666">
        <v>0</v>
      </c>
      <c r="M48" s="666">
        <v>0</v>
      </c>
      <c r="N48" s="598">
        <f t="shared" si="2"/>
        <v>0</v>
      </c>
    </row>
    <row r="49" spans="1:14">
      <c r="A49" s="409" t="s">
        <v>211</v>
      </c>
      <c r="B49" s="570">
        <f t="shared" ref="B49:M49" si="3">SUM(B37:B48)</f>
        <v>247.98400000000004</v>
      </c>
      <c r="C49" s="570">
        <f t="shared" si="3"/>
        <v>111.544</v>
      </c>
      <c r="D49" s="570">
        <f t="shared" si="3"/>
        <v>289.18</v>
      </c>
      <c r="E49" s="570">
        <f t="shared" si="3"/>
        <v>34.147000000000006</v>
      </c>
      <c r="F49" s="670">
        <f t="shared" si="3"/>
        <v>-39.586999999999996</v>
      </c>
      <c r="G49" s="670">
        <f t="shared" si="3"/>
        <v>324.25599999999997</v>
      </c>
      <c r="H49" s="670">
        <f t="shared" si="3"/>
        <v>22.68</v>
      </c>
      <c r="I49" s="670">
        <f t="shared" si="3"/>
        <v>0</v>
      </c>
      <c r="J49" s="670">
        <f t="shared" si="3"/>
        <v>0</v>
      </c>
      <c r="K49" s="670">
        <f t="shared" si="3"/>
        <v>0</v>
      </c>
      <c r="L49" s="670">
        <f t="shared" si="3"/>
        <v>0</v>
      </c>
      <c r="M49" s="670">
        <f t="shared" si="3"/>
        <v>0</v>
      </c>
      <c r="N49" s="668">
        <f>SUM(N37:N48)</f>
        <v>990.20399999999984</v>
      </c>
    </row>
    <row r="50" spans="1:14" ht="20.25" customHeight="1" thickBot="1">
      <c r="A50" s="224" t="s">
        <v>212</v>
      </c>
      <c r="B50" s="599">
        <f t="shared" ref="B50:M50" si="4">B49+B34</f>
        <v>763.25</v>
      </c>
      <c r="C50" s="571">
        <f t="shared" si="4"/>
        <v>989.27499999999998</v>
      </c>
      <c r="D50" s="571">
        <f t="shared" si="4"/>
        <v>1184.2329999999999</v>
      </c>
      <c r="E50" s="571">
        <f t="shared" si="4"/>
        <v>773.17500000000007</v>
      </c>
      <c r="F50" s="671">
        <f t="shared" si="4"/>
        <v>599.32899999999995</v>
      </c>
      <c r="G50" s="671">
        <f t="shared" si="4"/>
        <v>1623.42</v>
      </c>
      <c r="H50" s="671">
        <f t="shared" si="4"/>
        <v>784.22500000000002</v>
      </c>
      <c r="I50" s="671">
        <f t="shared" si="4"/>
        <v>0</v>
      </c>
      <c r="J50" s="671">
        <f t="shared" si="4"/>
        <v>0</v>
      </c>
      <c r="K50" s="671">
        <f t="shared" si="4"/>
        <v>0</v>
      </c>
      <c r="L50" s="671">
        <f t="shared" si="4"/>
        <v>0</v>
      </c>
      <c r="M50" s="671">
        <f t="shared" si="4"/>
        <v>0</v>
      </c>
      <c r="N50" s="672">
        <f>N49+N34</f>
        <v>6716.9069999999992</v>
      </c>
    </row>
    <row r="51" spans="1:14" ht="16.5" customHeight="1">
      <c r="A51" s="225"/>
      <c r="B51" s="568"/>
      <c r="C51" s="568"/>
      <c r="D51" s="568"/>
      <c r="E51" s="568"/>
      <c r="F51" s="667"/>
      <c r="G51" s="667"/>
      <c r="H51" s="667"/>
      <c r="I51" s="667"/>
      <c r="J51" s="673"/>
      <c r="K51" s="667"/>
      <c r="L51" s="667"/>
      <c r="M51" s="667"/>
      <c r="N51" s="674"/>
    </row>
    <row r="52" spans="1:14" s="213" customFormat="1" ht="30.75" customHeight="1" thickBot="1">
      <c r="A52" s="529" t="s">
        <v>213</v>
      </c>
      <c r="B52" s="600">
        <f>B50+0.041</f>
        <v>763.29100000000005</v>
      </c>
      <c r="C52" s="600">
        <f>C50+0.105</f>
        <v>989.38</v>
      </c>
      <c r="D52" s="600">
        <f>D50+0.156</f>
        <v>1184.3889999999999</v>
      </c>
      <c r="E52" s="600">
        <f>E50+0.222</f>
        <v>773.39700000000005</v>
      </c>
      <c r="F52" s="675">
        <f>F50+0.201</f>
        <v>599.53</v>
      </c>
      <c r="G52" s="675">
        <f>G50+0.213</f>
        <v>1623.633</v>
      </c>
      <c r="H52" s="675">
        <f>H50+0.264</f>
        <v>784.48900000000003</v>
      </c>
      <c r="I52" s="675">
        <v>0</v>
      </c>
      <c r="J52" s="675">
        <v>0</v>
      </c>
      <c r="K52" s="675">
        <v>0</v>
      </c>
      <c r="L52" s="675">
        <v>0</v>
      </c>
      <c r="M52" s="675">
        <v>0</v>
      </c>
      <c r="N52" s="676">
        <f>SUM(B52:M52)</f>
        <v>6718.1090000000004</v>
      </c>
    </row>
    <row r="53" spans="1:14" ht="12.75" customHeight="1">
      <c r="A53" s="250"/>
      <c r="B53" s="251"/>
      <c r="C53" s="251"/>
      <c r="D53" s="251"/>
      <c r="E53" s="251"/>
      <c r="F53" s="251"/>
      <c r="G53" s="251"/>
      <c r="H53" s="251"/>
      <c r="I53" s="251"/>
      <c r="J53" s="251"/>
      <c r="K53" s="251"/>
      <c r="L53" s="251"/>
      <c r="M53" s="251"/>
      <c r="N53" s="252"/>
    </row>
    <row r="54" spans="1:14" ht="12.75" customHeight="1">
      <c r="A54" s="416" t="s">
        <v>81</v>
      </c>
      <c r="B54" s="251"/>
      <c r="C54" s="251"/>
      <c r="D54" s="251"/>
      <c r="E54" s="251"/>
      <c r="F54" s="251"/>
      <c r="G54" s="251"/>
      <c r="H54" s="251"/>
      <c r="I54" s="251"/>
      <c r="J54" s="251"/>
      <c r="K54" s="251"/>
      <c r="L54" s="251"/>
      <c r="M54" s="251"/>
      <c r="N54" s="252"/>
    </row>
    <row r="55" spans="1:14" s="223" customFormat="1" ht="14.5">
      <c r="A55" s="561" t="s">
        <v>296</v>
      </c>
      <c r="G55" s="222"/>
      <c r="H55" s="222"/>
      <c r="J55" s="276"/>
    </row>
    <row r="56" spans="1:14" s="223" customFormat="1" ht="16.5" customHeight="1">
      <c r="A56" s="562" t="s">
        <v>297</v>
      </c>
      <c r="G56" s="222"/>
      <c r="H56" s="222"/>
      <c r="J56" s="276"/>
    </row>
    <row r="57" spans="1:14" s="223" customFormat="1" ht="16.5" customHeight="1">
      <c r="A57" s="562" t="s">
        <v>301</v>
      </c>
      <c r="G57" s="222"/>
      <c r="H57" s="222"/>
      <c r="J57" s="276"/>
    </row>
    <row r="58" spans="1:14" s="449" customFormat="1" ht="15">
      <c r="A58" s="562" t="s">
        <v>365</v>
      </c>
      <c r="B58" s="562"/>
      <c r="C58" s="562"/>
      <c r="D58" s="562"/>
      <c r="J58" s="450"/>
    </row>
    <row r="59" spans="1:14" ht="14.5">
      <c r="A59" s="562" t="s">
        <v>311</v>
      </c>
      <c r="B59" s="130"/>
      <c r="C59" s="130"/>
      <c r="D59" s="130"/>
      <c r="E59" s="130"/>
      <c r="F59" s="130"/>
    </row>
    <row r="60" spans="1:14" s="213" customFormat="1" ht="14.5">
      <c r="A60" s="631" t="s">
        <v>312</v>
      </c>
      <c r="B60" s="197"/>
      <c r="C60" s="197"/>
      <c r="D60" s="197"/>
      <c r="E60" s="197"/>
      <c r="F60" s="197"/>
      <c r="J60" s="451"/>
    </row>
    <row r="61" spans="1:14" ht="14.5">
      <c r="A61" s="649" t="s">
        <v>334</v>
      </c>
    </row>
    <row r="62" spans="1:14" ht="14.5">
      <c r="A62" s="649" t="s">
        <v>356</v>
      </c>
    </row>
    <row r="63" spans="1:14" ht="14.5">
      <c r="A63" s="649" t="s">
        <v>357</v>
      </c>
    </row>
    <row r="67" spans="1:1" ht="14">
      <c r="A67" s="235" t="s">
        <v>64</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130" zoomScaleNormal="130" zoomScaleSheetLayoutView="75" workbookViewId="0">
      <selection activeCell="K48" sqref="K48"/>
    </sheetView>
  </sheetViews>
  <sheetFormatPr defaultColWidth="9.26953125" defaultRowHeight="12.5"/>
  <cols>
    <col min="1" max="1" width="39.453125" style="16" customWidth="1"/>
    <col min="2"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8" t="s">
        <v>39</v>
      </c>
    </row>
    <row r="3" spans="1:14" ht="13">
      <c r="C3" s="160"/>
      <c r="D3" s="160"/>
      <c r="E3" s="161" t="s">
        <v>214</v>
      </c>
      <c r="F3" s="160"/>
      <c r="G3" s="160"/>
    </row>
    <row r="4" spans="1:14" ht="13">
      <c r="A4" s="22"/>
      <c r="D4" s="160"/>
      <c r="E4" s="151" t="str">
        <f>'Program MW '!H3</f>
        <v>July 2021</v>
      </c>
      <c r="F4" s="160"/>
    </row>
    <row r="5" spans="1:14" ht="13">
      <c r="A5" s="410"/>
      <c r="E5" s="151"/>
    </row>
    <row r="6" spans="1:14" ht="13.5" thickBot="1">
      <c r="A6" s="22"/>
      <c r="E6" s="151"/>
    </row>
    <row r="7" spans="1:14" ht="32.25" customHeight="1">
      <c r="A7" s="23" t="s">
        <v>189</v>
      </c>
      <c r="B7" s="24" t="s">
        <v>41</v>
      </c>
      <c r="C7" s="24" t="s">
        <v>42</v>
      </c>
      <c r="D7" s="24" t="s">
        <v>43</v>
      </c>
      <c r="E7" s="24" t="s">
        <v>44</v>
      </c>
      <c r="F7" s="24" t="s">
        <v>31</v>
      </c>
      <c r="G7" s="24" t="s">
        <v>45</v>
      </c>
      <c r="H7" s="24" t="s">
        <v>59</v>
      </c>
      <c r="I7" s="24" t="s">
        <v>66</v>
      </c>
      <c r="J7" s="24" t="s">
        <v>67</v>
      </c>
      <c r="K7" s="24" t="s">
        <v>61</v>
      </c>
      <c r="L7" s="24" t="s">
        <v>68</v>
      </c>
      <c r="M7" s="24" t="s">
        <v>62</v>
      </c>
      <c r="N7" s="452" t="s">
        <v>215</v>
      </c>
    </row>
    <row r="8" spans="1:14" ht="16.5">
      <c r="A8" s="25" t="s">
        <v>216</v>
      </c>
      <c r="N8" s="318"/>
    </row>
    <row r="9" spans="1:14" ht="6" customHeight="1">
      <c r="A9" s="26"/>
      <c r="N9" s="318"/>
    </row>
    <row r="10" spans="1:14" ht="13">
      <c r="A10" s="26" t="s">
        <v>191</v>
      </c>
      <c r="N10" s="318"/>
    </row>
    <row r="11" spans="1:14" ht="14.25" customHeight="1">
      <c r="A11" s="27" t="s">
        <v>349</v>
      </c>
      <c r="B11" s="578">
        <v>2.012</v>
      </c>
      <c r="C11" s="578">
        <v>2.2959999999999998</v>
      </c>
      <c r="D11" s="578">
        <v>3.0379999999999998</v>
      </c>
      <c r="E11" s="578">
        <v>4.9740000000000002</v>
      </c>
      <c r="F11" s="578">
        <v>4.1189999999999998</v>
      </c>
      <c r="G11" s="578">
        <v>6.4640000000000004</v>
      </c>
      <c r="H11" s="578">
        <v>-1.4610000000000001</v>
      </c>
      <c r="I11" s="578">
        <v>0</v>
      </c>
      <c r="J11" s="578">
        <v>0</v>
      </c>
      <c r="K11" s="578">
        <v>0</v>
      </c>
      <c r="L11" s="578">
        <v>0</v>
      </c>
      <c r="M11" s="578">
        <v>0</v>
      </c>
      <c r="N11" s="574">
        <f>SUM(B11:M11)</f>
        <v>21.442</v>
      </c>
    </row>
    <row r="12" spans="1:14">
      <c r="A12" s="27" t="s">
        <v>93</v>
      </c>
      <c r="B12" s="578">
        <v>0</v>
      </c>
      <c r="C12" s="578">
        <v>0</v>
      </c>
      <c r="D12" s="578">
        <v>0</v>
      </c>
      <c r="E12" s="578">
        <v>0</v>
      </c>
      <c r="F12" s="578">
        <v>0</v>
      </c>
      <c r="G12" s="578">
        <v>0</v>
      </c>
      <c r="H12" s="578">
        <v>0</v>
      </c>
      <c r="I12" s="578">
        <v>0</v>
      </c>
      <c r="J12" s="578">
        <v>0</v>
      </c>
      <c r="K12" s="578">
        <v>0</v>
      </c>
      <c r="L12" s="578">
        <v>0</v>
      </c>
      <c r="M12" s="578">
        <v>0</v>
      </c>
      <c r="N12" s="574">
        <f>SUM(B12:M12)</f>
        <v>0</v>
      </c>
    </row>
    <row r="13" spans="1:14">
      <c r="A13" s="27" t="s">
        <v>217</v>
      </c>
      <c r="B13" s="578">
        <v>0</v>
      </c>
      <c r="C13" s="578">
        <v>0</v>
      </c>
      <c r="D13" s="578">
        <v>0</v>
      </c>
      <c r="E13" s="578">
        <v>0</v>
      </c>
      <c r="F13" s="578">
        <v>0</v>
      </c>
      <c r="G13" s="578">
        <v>0</v>
      </c>
      <c r="H13" s="578">
        <v>0</v>
      </c>
      <c r="I13" s="578">
        <v>0</v>
      </c>
      <c r="J13" s="578">
        <v>0</v>
      </c>
      <c r="K13" s="578">
        <v>0</v>
      </c>
      <c r="L13" s="578">
        <v>0</v>
      </c>
      <c r="M13" s="578">
        <v>0</v>
      </c>
      <c r="N13" s="574">
        <f>SUM(B13:M13)</f>
        <v>0</v>
      </c>
    </row>
    <row r="14" spans="1:14" ht="13">
      <c r="A14" s="20" t="s">
        <v>218</v>
      </c>
      <c r="B14" s="576">
        <f t="shared" ref="B14:M14" si="0">SUM(B11:B13)</f>
        <v>2.012</v>
      </c>
      <c r="C14" s="576">
        <f t="shared" si="0"/>
        <v>2.2959999999999998</v>
      </c>
      <c r="D14" s="576">
        <f t="shared" si="0"/>
        <v>3.0379999999999998</v>
      </c>
      <c r="E14" s="576">
        <f t="shared" si="0"/>
        <v>4.9740000000000002</v>
      </c>
      <c r="F14" s="576">
        <f t="shared" si="0"/>
        <v>4.1189999999999998</v>
      </c>
      <c r="G14" s="576">
        <f t="shared" si="0"/>
        <v>6.4640000000000004</v>
      </c>
      <c r="H14" s="576">
        <f t="shared" si="0"/>
        <v>-1.4610000000000001</v>
      </c>
      <c r="I14" s="576">
        <f t="shared" si="0"/>
        <v>0</v>
      </c>
      <c r="J14" s="576">
        <f t="shared" si="0"/>
        <v>0</v>
      </c>
      <c r="K14" s="576">
        <f t="shared" si="0"/>
        <v>0</v>
      </c>
      <c r="L14" s="576">
        <f t="shared" si="0"/>
        <v>0</v>
      </c>
      <c r="M14" s="576">
        <f t="shared" si="0"/>
        <v>0</v>
      </c>
      <c r="N14" s="577">
        <f>SUM(B14:M14)</f>
        <v>21.442</v>
      </c>
    </row>
    <row r="15" spans="1:14">
      <c r="A15" s="27"/>
      <c r="B15" s="578"/>
      <c r="C15" s="578"/>
      <c r="D15" s="578"/>
      <c r="E15" s="578"/>
      <c r="F15" s="578"/>
      <c r="G15" s="578"/>
      <c r="H15" s="578"/>
      <c r="I15" s="578"/>
      <c r="J15" s="578"/>
      <c r="K15" s="578"/>
      <c r="L15" s="578"/>
      <c r="M15" s="578"/>
      <c r="N15" s="574"/>
    </row>
    <row r="16" spans="1:14" ht="13">
      <c r="A16" s="26" t="s">
        <v>219</v>
      </c>
      <c r="B16" s="578"/>
      <c r="C16" s="578"/>
      <c r="D16" s="578"/>
      <c r="E16" s="578"/>
      <c r="F16" s="578"/>
      <c r="G16" s="578"/>
      <c r="H16" s="578"/>
      <c r="I16" s="578"/>
      <c r="J16" s="578"/>
      <c r="K16" s="578"/>
      <c r="L16" s="578"/>
      <c r="M16" s="578"/>
      <c r="N16" s="574"/>
    </row>
    <row r="17" spans="1:19" ht="15">
      <c r="A17" s="27" t="s">
        <v>220</v>
      </c>
      <c r="B17" s="578">
        <v>0</v>
      </c>
      <c r="C17" s="578">
        <v>0</v>
      </c>
      <c r="D17" s="578">
        <v>0</v>
      </c>
      <c r="E17" s="578">
        <v>0</v>
      </c>
      <c r="F17" s="578">
        <v>0</v>
      </c>
      <c r="G17" s="578">
        <v>0</v>
      </c>
      <c r="H17" s="579">
        <v>0</v>
      </c>
      <c r="I17" s="579">
        <v>0</v>
      </c>
      <c r="J17" s="579">
        <v>0</v>
      </c>
      <c r="K17" s="579">
        <v>0</v>
      </c>
      <c r="L17" s="579">
        <v>0</v>
      </c>
      <c r="M17" s="579">
        <v>0</v>
      </c>
      <c r="N17" s="574">
        <f>SUM(B17:M17)</f>
        <v>0</v>
      </c>
    </row>
    <row r="18" spans="1:19" ht="13">
      <c r="A18" s="20" t="s">
        <v>221</v>
      </c>
      <c r="B18" s="576">
        <f t="shared" ref="B18:M18" si="1">SUM(B17:B17)</f>
        <v>0</v>
      </c>
      <c r="C18" s="576">
        <f t="shared" si="1"/>
        <v>0</v>
      </c>
      <c r="D18" s="576">
        <f t="shared" si="1"/>
        <v>0</v>
      </c>
      <c r="E18" s="576">
        <f t="shared" si="1"/>
        <v>0</v>
      </c>
      <c r="F18" s="576">
        <f t="shared" si="1"/>
        <v>0</v>
      </c>
      <c r="G18" s="576">
        <f t="shared" si="1"/>
        <v>0</v>
      </c>
      <c r="H18" s="576">
        <f t="shared" si="1"/>
        <v>0</v>
      </c>
      <c r="I18" s="576">
        <f t="shared" si="1"/>
        <v>0</v>
      </c>
      <c r="J18" s="576">
        <f t="shared" si="1"/>
        <v>0</v>
      </c>
      <c r="K18" s="576">
        <f t="shared" si="1"/>
        <v>0</v>
      </c>
      <c r="L18" s="576">
        <f t="shared" si="1"/>
        <v>0</v>
      </c>
      <c r="M18" s="576">
        <f t="shared" si="1"/>
        <v>0</v>
      </c>
      <c r="N18" s="577">
        <f>SUM(B18:M18)</f>
        <v>0</v>
      </c>
    </row>
    <row r="19" spans="1:19" ht="13">
      <c r="A19" s="29"/>
      <c r="B19" s="578"/>
      <c r="C19" s="578"/>
      <c r="D19" s="578"/>
      <c r="E19" s="578"/>
      <c r="F19" s="578"/>
      <c r="G19" s="578"/>
      <c r="H19" s="578"/>
      <c r="I19" s="578"/>
      <c r="J19" s="578"/>
      <c r="K19" s="578"/>
      <c r="L19" s="578"/>
      <c r="M19" s="578"/>
      <c r="N19" s="574"/>
    </row>
    <row r="20" spans="1:19" ht="13">
      <c r="A20" s="26" t="s">
        <v>222</v>
      </c>
      <c r="B20" s="578" t="s">
        <v>56</v>
      </c>
      <c r="C20" s="578" t="s">
        <v>56</v>
      </c>
      <c r="D20" s="578" t="s">
        <v>56</v>
      </c>
      <c r="E20" s="578"/>
      <c r="F20" s="578" t="s">
        <v>56</v>
      </c>
      <c r="G20" s="578"/>
      <c r="H20" s="578" t="s">
        <v>56</v>
      </c>
      <c r="I20" s="578" t="s">
        <v>56</v>
      </c>
      <c r="J20" s="578" t="s">
        <v>56</v>
      </c>
      <c r="K20" s="578" t="s">
        <v>56</v>
      </c>
      <c r="L20" s="578" t="s">
        <v>56</v>
      </c>
      <c r="M20" s="578" t="s">
        <v>56</v>
      </c>
      <c r="N20" s="574" t="s">
        <v>56</v>
      </c>
    </row>
    <row r="21" spans="1:19">
      <c r="A21" s="27" t="s">
        <v>223</v>
      </c>
      <c r="B21" s="578">
        <v>0</v>
      </c>
      <c r="C21" s="578">
        <v>0</v>
      </c>
      <c r="D21" s="578">
        <v>0</v>
      </c>
      <c r="E21" s="578">
        <v>0</v>
      </c>
      <c r="F21" s="578">
        <v>0</v>
      </c>
      <c r="G21" s="578">
        <v>0</v>
      </c>
      <c r="H21" s="579">
        <v>0</v>
      </c>
      <c r="I21" s="579">
        <v>0</v>
      </c>
      <c r="J21" s="579">
        <v>0</v>
      </c>
      <c r="K21" s="579">
        <v>0</v>
      </c>
      <c r="L21" s="579">
        <v>0</v>
      </c>
      <c r="M21" s="579">
        <v>0</v>
      </c>
      <c r="N21" s="574">
        <f>SUM(B21:M21)</f>
        <v>0</v>
      </c>
    </row>
    <row r="22" spans="1:19" ht="13">
      <c r="A22" s="207" t="s">
        <v>224</v>
      </c>
      <c r="B22" s="576">
        <f t="shared" ref="B22:M22" si="2">SUM(B21:B21)</f>
        <v>0</v>
      </c>
      <c r="C22" s="576">
        <f t="shared" si="2"/>
        <v>0</v>
      </c>
      <c r="D22" s="576">
        <f t="shared" si="2"/>
        <v>0</v>
      </c>
      <c r="E22" s="576">
        <f t="shared" si="2"/>
        <v>0</v>
      </c>
      <c r="F22" s="576">
        <f t="shared" si="2"/>
        <v>0</v>
      </c>
      <c r="G22" s="576">
        <f t="shared" si="2"/>
        <v>0</v>
      </c>
      <c r="H22" s="576">
        <f t="shared" si="2"/>
        <v>0</v>
      </c>
      <c r="I22" s="576">
        <f t="shared" si="2"/>
        <v>0</v>
      </c>
      <c r="J22" s="576">
        <f t="shared" si="2"/>
        <v>0</v>
      </c>
      <c r="K22" s="576">
        <f t="shared" si="2"/>
        <v>0</v>
      </c>
      <c r="L22" s="576">
        <f t="shared" si="2"/>
        <v>0</v>
      </c>
      <c r="M22" s="576">
        <f t="shared" si="2"/>
        <v>0</v>
      </c>
      <c r="N22" s="577">
        <f>SUM(B22:M22)</f>
        <v>0</v>
      </c>
    </row>
    <row r="23" spans="1:19" ht="13">
      <c r="A23" s="31"/>
      <c r="B23" s="578"/>
      <c r="C23" s="578"/>
      <c r="D23" s="578"/>
      <c r="E23" s="578"/>
      <c r="F23" s="578"/>
      <c r="G23" s="581"/>
      <c r="H23" s="578"/>
      <c r="I23" s="581"/>
      <c r="J23" s="578"/>
      <c r="K23" s="578"/>
      <c r="L23" s="581"/>
      <c r="M23" s="578"/>
      <c r="N23" s="574"/>
    </row>
    <row r="24" spans="1:19" ht="13">
      <c r="A24" s="32" t="s">
        <v>205</v>
      </c>
      <c r="B24" s="578"/>
      <c r="C24" s="578"/>
      <c r="D24" s="578"/>
      <c r="E24" s="578"/>
      <c r="F24" s="578"/>
      <c r="G24" s="578"/>
      <c r="H24" s="578"/>
      <c r="I24" s="578"/>
      <c r="J24" s="578"/>
      <c r="K24" s="578"/>
      <c r="L24" s="578"/>
      <c r="M24" s="578"/>
      <c r="N24" s="574"/>
    </row>
    <row r="25" spans="1:19">
      <c r="A25" s="27" t="s">
        <v>92</v>
      </c>
      <c r="B25" s="578">
        <v>0</v>
      </c>
      <c r="C25" s="578">
        <v>0</v>
      </c>
      <c r="D25" s="578">
        <v>0</v>
      </c>
      <c r="E25" s="578">
        <v>0</v>
      </c>
      <c r="F25" s="578">
        <v>0</v>
      </c>
      <c r="G25" s="578">
        <v>0</v>
      </c>
      <c r="H25" s="579">
        <v>0</v>
      </c>
      <c r="I25" s="579">
        <v>0</v>
      </c>
      <c r="J25" s="579">
        <v>0</v>
      </c>
      <c r="K25" s="579">
        <v>0</v>
      </c>
      <c r="L25" s="579">
        <v>0</v>
      </c>
      <c r="M25" s="579">
        <v>0</v>
      </c>
      <c r="N25" s="574">
        <f>SUM(B25:M25)</f>
        <v>0</v>
      </c>
    </row>
    <row r="26" spans="1:19">
      <c r="A26" s="27" t="s">
        <v>93</v>
      </c>
      <c r="B26" s="578">
        <v>0</v>
      </c>
      <c r="C26" s="578">
        <v>0</v>
      </c>
      <c r="D26" s="578">
        <v>0</v>
      </c>
      <c r="E26" s="578">
        <v>0</v>
      </c>
      <c r="F26" s="578">
        <v>0</v>
      </c>
      <c r="G26" s="578">
        <v>0</v>
      </c>
      <c r="H26" s="579">
        <v>0</v>
      </c>
      <c r="I26" s="579">
        <v>0</v>
      </c>
      <c r="J26" s="579">
        <v>0</v>
      </c>
      <c r="K26" s="579">
        <v>0</v>
      </c>
      <c r="L26" s="579">
        <v>0</v>
      </c>
      <c r="M26" s="579">
        <v>0</v>
      </c>
      <c r="N26" s="574">
        <f>SUM(B26:M26)</f>
        <v>0</v>
      </c>
    </row>
    <row r="27" spans="1:19">
      <c r="A27" s="27" t="s">
        <v>217</v>
      </c>
      <c r="B27" s="578">
        <v>0</v>
      </c>
      <c r="C27" s="578">
        <v>0</v>
      </c>
      <c r="D27" s="578">
        <v>0</v>
      </c>
      <c r="E27" s="578">
        <v>0</v>
      </c>
      <c r="F27" s="578">
        <v>0</v>
      </c>
      <c r="G27" s="578">
        <v>0</v>
      </c>
      <c r="H27" s="579">
        <v>0</v>
      </c>
      <c r="I27" s="579">
        <v>0</v>
      </c>
      <c r="J27" s="579">
        <v>0</v>
      </c>
      <c r="K27" s="579">
        <v>0</v>
      </c>
      <c r="L27" s="579">
        <v>0</v>
      </c>
      <c r="M27" s="582">
        <v>0</v>
      </c>
      <c r="N27" s="574">
        <f>SUM(B27:M27)</f>
        <v>0</v>
      </c>
    </row>
    <row r="28" spans="1:19" ht="13">
      <c r="A28" s="33" t="s">
        <v>211</v>
      </c>
      <c r="B28" s="576">
        <f t="shared" ref="B28:H28" si="3">SUM(B25:B27)</f>
        <v>0</v>
      </c>
      <c r="C28" s="576">
        <f t="shared" si="3"/>
        <v>0</v>
      </c>
      <c r="D28" s="576">
        <f t="shared" si="3"/>
        <v>0</v>
      </c>
      <c r="E28" s="576">
        <f t="shared" si="3"/>
        <v>0</v>
      </c>
      <c r="F28" s="576">
        <f t="shared" si="3"/>
        <v>0</v>
      </c>
      <c r="G28" s="576">
        <f t="shared" si="3"/>
        <v>0</v>
      </c>
      <c r="H28" s="576">
        <f t="shared" si="3"/>
        <v>0</v>
      </c>
      <c r="I28" s="576">
        <f>SUM(I24:I27)</f>
        <v>0</v>
      </c>
      <c r="J28" s="576">
        <f>SUM(J25:J27)</f>
        <v>0</v>
      </c>
      <c r="K28" s="576">
        <f>SUM(K25:K27)</f>
        <v>0</v>
      </c>
      <c r="L28" s="576">
        <f>SUM(L25:L27)</f>
        <v>0</v>
      </c>
      <c r="M28" s="576">
        <f>SUM(M25:M27)</f>
        <v>0</v>
      </c>
      <c r="N28" s="577">
        <f>SUM(B28:M28)</f>
        <v>0</v>
      </c>
      <c r="O28" s="28"/>
    </row>
    <row r="29" spans="1:19" ht="10.5" customHeight="1">
      <c r="A29" s="34"/>
      <c r="B29" s="581"/>
      <c r="C29" s="581"/>
      <c r="D29" s="581"/>
      <c r="E29" s="581"/>
      <c r="F29" s="581"/>
      <c r="G29" s="581"/>
      <c r="H29" s="581"/>
      <c r="I29" s="581"/>
      <c r="J29" s="581"/>
      <c r="K29" s="581"/>
      <c r="L29" s="581"/>
      <c r="M29" s="581"/>
      <c r="N29" s="584"/>
    </row>
    <row r="30" spans="1:19" ht="15" customHeight="1">
      <c r="A30" s="20" t="s">
        <v>225</v>
      </c>
      <c r="B30" s="586">
        <v>0</v>
      </c>
      <c r="C30" s="586">
        <v>0</v>
      </c>
      <c r="D30" s="586">
        <v>0</v>
      </c>
      <c r="E30" s="586">
        <v>0</v>
      </c>
      <c r="F30" s="586">
        <v>0</v>
      </c>
      <c r="G30" s="586">
        <v>0</v>
      </c>
      <c r="H30" s="586">
        <v>0</v>
      </c>
      <c r="I30" s="586">
        <v>0</v>
      </c>
      <c r="J30" s="576">
        <v>0</v>
      </c>
      <c r="K30" s="576">
        <v>0</v>
      </c>
      <c r="L30" s="586">
        <v>0</v>
      </c>
      <c r="M30" s="586">
        <v>0</v>
      </c>
      <c r="N30" s="587">
        <f>SUM(B30:M30)</f>
        <v>0</v>
      </c>
      <c r="O30" s="30"/>
      <c r="P30" s="30"/>
      <c r="Q30" s="30"/>
      <c r="R30" s="30"/>
      <c r="S30" s="35"/>
    </row>
    <row r="31" spans="1:19" ht="28.5" customHeight="1" thickBot="1">
      <c r="A31" s="21" t="s">
        <v>226</v>
      </c>
      <c r="B31" s="588">
        <f t="shared" ref="B31:M31" si="4">B14+B18+B22+B28+B30</f>
        <v>2.012</v>
      </c>
      <c r="C31" s="588">
        <f t="shared" si="4"/>
        <v>2.2959999999999998</v>
      </c>
      <c r="D31" s="588">
        <f t="shared" si="4"/>
        <v>3.0379999999999998</v>
      </c>
      <c r="E31" s="588">
        <f t="shared" si="4"/>
        <v>4.9740000000000002</v>
      </c>
      <c r="F31" s="588">
        <f t="shared" si="4"/>
        <v>4.1189999999999998</v>
      </c>
      <c r="G31" s="588">
        <f t="shared" si="4"/>
        <v>6.4640000000000004</v>
      </c>
      <c r="H31" s="588">
        <f t="shared" si="4"/>
        <v>-1.4610000000000001</v>
      </c>
      <c r="I31" s="588">
        <f t="shared" si="4"/>
        <v>0</v>
      </c>
      <c r="J31" s="588">
        <f t="shared" si="4"/>
        <v>0</v>
      </c>
      <c r="K31" s="588">
        <f t="shared" si="4"/>
        <v>0</v>
      </c>
      <c r="L31" s="588">
        <f t="shared" si="4"/>
        <v>0</v>
      </c>
      <c r="M31" s="588">
        <f t="shared" si="4"/>
        <v>0</v>
      </c>
      <c r="N31" s="589">
        <f>SUM(B31:M31)</f>
        <v>21.442</v>
      </c>
      <c r="O31" s="28"/>
    </row>
    <row r="32" spans="1:19" ht="12" customHeight="1">
      <c r="A32" s="36"/>
      <c r="B32" s="37"/>
      <c r="C32" s="37"/>
      <c r="D32" s="236"/>
      <c r="E32" s="37"/>
      <c r="F32" s="37"/>
      <c r="G32" s="37"/>
      <c r="H32" s="37"/>
      <c r="I32" s="236"/>
      <c r="J32" s="236"/>
      <c r="K32" s="236"/>
      <c r="L32" s="236"/>
      <c r="M32" s="236"/>
      <c r="N32" s="37"/>
    </row>
    <row r="33" spans="1:14" ht="16.5">
      <c r="A33" s="439" t="s">
        <v>360</v>
      </c>
    </row>
    <row r="34" spans="1:14" ht="12" customHeight="1">
      <c r="A34" s="235" t="s">
        <v>64</v>
      </c>
      <c r="B34" s="28"/>
      <c r="C34" s="28"/>
      <c r="D34" s="28"/>
      <c r="E34" s="28"/>
      <c r="F34" s="28"/>
      <c r="G34" s="28"/>
      <c r="H34" s="28"/>
      <c r="I34" s="28"/>
      <c r="J34" s="28"/>
      <c r="K34" s="28"/>
      <c r="L34" s="28"/>
      <c r="M34" s="28"/>
      <c r="N34" s="28"/>
    </row>
    <row r="35" spans="1:14" ht="14.25" customHeight="1">
      <c r="A35" s="751"/>
      <c r="B35" s="751"/>
      <c r="C35" s="751"/>
      <c r="D35" s="751"/>
      <c r="E35" s="751"/>
      <c r="F35" s="751"/>
      <c r="G35" s="751"/>
      <c r="H35" s="751"/>
      <c r="I35" s="751"/>
      <c r="J35" s="751"/>
      <c r="K35" s="751"/>
      <c r="L35" s="751"/>
      <c r="M35" s="751"/>
      <c r="N35" s="751"/>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B20" sqref="B20:H23"/>
    </sheetView>
  </sheetViews>
  <sheetFormatPr defaultColWidth="9.26953125" defaultRowHeight="12.5"/>
  <cols>
    <col min="1" max="1" width="55.26953125" style="16" customWidth="1"/>
    <col min="2" max="13" width="11.54296875" style="16"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1" spans="1:16" ht="14.5">
      <c r="A1" s="493"/>
    </row>
    <row r="3" spans="1:16" ht="13">
      <c r="E3" s="148" t="s">
        <v>39</v>
      </c>
    </row>
    <row r="4" spans="1:16" ht="13">
      <c r="C4" s="160"/>
      <c r="D4" s="160"/>
      <c r="E4" s="161" t="s">
        <v>227</v>
      </c>
      <c r="F4" s="160"/>
      <c r="G4" s="160"/>
    </row>
    <row r="5" spans="1:16" ht="13">
      <c r="D5" s="160"/>
      <c r="E5" s="151" t="str">
        <f>'Program MW '!H3</f>
        <v>July 2021</v>
      </c>
      <c r="F5" s="160"/>
    </row>
    <row r="6" spans="1:16" ht="13">
      <c r="E6" s="151"/>
    </row>
    <row r="7" spans="1:16" ht="13.5" thickBot="1">
      <c r="A7" s="22"/>
    </row>
    <row r="8" spans="1:16" ht="32.25" customHeight="1" thickBot="1">
      <c r="A8" s="358" t="s">
        <v>189</v>
      </c>
      <c r="B8" s="24" t="s">
        <v>41</v>
      </c>
      <c r="C8" s="24" t="s">
        <v>42</v>
      </c>
      <c r="D8" s="24" t="s">
        <v>43</v>
      </c>
      <c r="E8" s="24" t="s">
        <v>44</v>
      </c>
      <c r="F8" s="24" t="s">
        <v>31</v>
      </c>
      <c r="G8" s="24" t="s">
        <v>45</v>
      </c>
      <c r="H8" s="24" t="s">
        <v>59</v>
      </c>
      <c r="I8" s="24" t="s">
        <v>66</v>
      </c>
      <c r="J8" s="24" t="s">
        <v>67</v>
      </c>
      <c r="K8" s="24" t="s">
        <v>61</v>
      </c>
      <c r="L8" s="24" t="s">
        <v>68</v>
      </c>
      <c r="M8" s="24" t="s">
        <v>62</v>
      </c>
      <c r="N8" s="452" t="s">
        <v>215</v>
      </c>
    </row>
    <row r="9" spans="1:16" ht="26">
      <c r="A9" s="359" t="s">
        <v>228</v>
      </c>
      <c r="B9" s="442"/>
      <c r="C9" s="237"/>
      <c r="M9" s="357"/>
      <c r="N9" s="453"/>
      <c r="P9" s="357"/>
    </row>
    <row r="10" spans="1:16" ht="6" customHeight="1">
      <c r="A10" s="316"/>
      <c r="B10" s="442"/>
      <c r="C10" s="237"/>
      <c r="M10" s="357"/>
      <c r="N10" s="318"/>
    </row>
    <row r="11" spans="1:16" ht="13">
      <c r="A11" s="316" t="s">
        <v>191</v>
      </c>
      <c r="B11" s="442"/>
      <c r="C11" s="237"/>
      <c r="M11" s="357"/>
      <c r="N11" s="318"/>
    </row>
    <row r="12" spans="1:16" ht="13">
      <c r="A12" s="317" t="s">
        <v>268</v>
      </c>
      <c r="B12" s="573">
        <v>0</v>
      </c>
      <c r="C12" s="573">
        <v>0</v>
      </c>
      <c r="D12" s="573">
        <v>0</v>
      </c>
      <c r="E12" s="573">
        <v>0</v>
      </c>
      <c r="F12" s="573">
        <v>0</v>
      </c>
      <c r="G12" s="573">
        <v>210</v>
      </c>
      <c r="H12" s="573">
        <v>0</v>
      </c>
      <c r="I12" s="573">
        <v>0</v>
      </c>
      <c r="J12" s="573">
        <v>0</v>
      </c>
      <c r="K12" s="573">
        <v>0</v>
      </c>
      <c r="L12" s="573">
        <v>0</v>
      </c>
      <c r="M12" s="573">
        <v>0</v>
      </c>
      <c r="N12" s="574">
        <f t="shared" ref="N12:N17" si="0">SUM(B12:M12)</f>
        <v>210</v>
      </c>
    </row>
    <row r="13" spans="1:16" ht="15">
      <c r="A13" s="317" t="s">
        <v>229</v>
      </c>
      <c r="B13" s="573">
        <v>32.534999999999997</v>
      </c>
      <c r="C13" s="573">
        <v>51.664999999999999</v>
      </c>
      <c r="D13" s="573">
        <f>121.347-C13-B13</f>
        <v>37.146999999999991</v>
      </c>
      <c r="E13" s="573">
        <v>27.42</v>
      </c>
      <c r="F13" s="573">
        <v>29.666</v>
      </c>
      <c r="G13" s="573">
        <v>29.318999999999999</v>
      </c>
      <c r="H13" s="573">
        <v>29.231000000000002</v>
      </c>
      <c r="I13" s="573">
        <v>0</v>
      </c>
      <c r="J13" s="573">
        <v>0</v>
      </c>
      <c r="K13" s="573">
        <v>0</v>
      </c>
      <c r="L13" s="573">
        <v>0</v>
      </c>
      <c r="M13" s="573">
        <v>0</v>
      </c>
      <c r="N13" s="574">
        <f t="shared" si="0"/>
        <v>236.98299999999998</v>
      </c>
    </row>
    <row r="14" spans="1:16" ht="15">
      <c r="A14" s="317" t="s">
        <v>276</v>
      </c>
      <c r="B14" s="573">
        <v>-9.125</v>
      </c>
      <c r="C14" s="573">
        <v>3.0419999999999998</v>
      </c>
      <c r="D14" s="573">
        <v>0</v>
      </c>
      <c r="E14" s="573">
        <v>0</v>
      </c>
      <c r="F14" s="573">
        <v>0</v>
      </c>
      <c r="G14" s="573">
        <v>0</v>
      </c>
      <c r="H14" s="573">
        <v>0</v>
      </c>
      <c r="I14" s="573">
        <v>0</v>
      </c>
      <c r="J14" s="573">
        <v>0</v>
      </c>
      <c r="K14" s="573">
        <v>0</v>
      </c>
      <c r="L14" s="573">
        <v>0</v>
      </c>
      <c r="M14" s="573">
        <v>0</v>
      </c>
      <c r="N14" s="574">
        <f t="shared" si="0"/>
        <v>-6.0830000000000002</v>
      </c>
    </row>
    <row r="15" spans="1:16" ht="15">
      <c r="A15" s="317" t="s">
        <v>230</v>
      </c>
      <c r="B15" s="573">
        <v>0</v>
      </c>
      <c r="C15" s="573">
        <v>0</v>
      </c>
      <c r="D15" s="573">
        <v>0</v>
      </c>
      <c r="E15" s="573">
        <v>0</v>
      </c>
      <c r="F15" s="573">
        <v>0</v>
      </c>
      <c r="G15" s="573">
        <v>0</v>
      </c>
      <c r="H15" s="573">
        <v>0</v>
      </c>
      <c r="I15" s="573">
        <v>0</v>
      </c>
      <c r="J15" s="573">
        <v>0</v>
      </c>
      <c r="K15" s="573">
        <v>0</v>
      </c>
      <c r="L15" s="573">
        <v>0</v>
      </c>
      <c r="M15" s="573">
        <v>0</v>
      </c>
      <c r="N15" s="574">
        <f t="shared" si="0"/>
        <v>0</v>
      </c>
    </row>
    <row r="16" spans="1:16" ht="15">
      <c r="A16" s="360" t="s">
        <v>350</v>
      </c>
      <c r="B16" s="573">
        <v>1.7729999999999999</v>
      </c>
      <c r="C16" s="573">
        <v>0.46500000000000002</v>
      </c>
      <c r="D16" s="573">
        <f>3.243-C16-B16</f>
        <v>1.0050000000000001</v>
      </c>
      <c r="E16" s="573">
        <v>22.388000000000002</v>
      </c>
      <c r="F16" s="573">
        <v>13.225</v>
      </c>
      <c r="G16" s="573">
        <v>12.673999999999999</v>
      </c>
      <c r="H16" s="573">
        <v>-1.9390000000000001</v>
      </c>
      <c r="I16" s="573">
        <v>0</v>
      </c>
      <c r="J16" s="573">
        <v>0</v>
      </c>
      <c r="K16" s="573">
        <v>0</v>
      </c>
      <c r="L16" s="573">
        <v>0</v>
      </c>
      <c r="M16" s="573">
        <v>0</v>
      </c>
      <c r="N16" s="574">
        <f t="shared" si="0"/>
        <v>49.591000000000001</v>
      </c>
      <c r="O16" s="28"/>
    </row>
    <row r="17" spans="1:16" ht="13">
      <c r="A17" s="553" t="s">
        <v>218</v>
      </c>
      <c r="B17" s="575">
        <f t="shared" ref="B17:M17" si="1">SUM(B12:B16)</f>
        <v>25.182999999999996</v>
      </c>
      <c r="C17" s="576">
        <f t="shared" si="1"/>
        <v>55.172000000000004</v>
      </c>
      <c r="D17" s="576">
        <f t="shared" si="1"/>
        <v>38.151999999999994</v>
      </c>
      <c r="E17" s="576">
        <f t="shared" si="1"/>
        <v>49.808000000000007</v>
      </c>
      <c r="F17" s="576">
        <f t="shared" si="1"/>
        <v>42.890999999999998</v>
      </c>
      <c r="G17" s="576">
        <f t="shared" si="1"/>
        <v>251.99299999999999</v>
      </c>
      <c r="H17" s="576">
        <f t="shared" si="1"/>
        <v>27.292000000000002</v>
      </c>
      <c r="I17" s="576">
        <f t="shared" si="1"/>
        <v>0</v>
      </c>
      <c r="J17" s="576">
        <f t="shared" si="1"/>
        <v>0</v>
      </c>
      <c r="K17" s="576">
        <f t="shared" si="1"/>
        <v>0</v>
      </c>
      <c r="L17" s="576">
        <f t="shared" si="1"/>
        <v>0</v>
      </c>
      <c r="M17" s="576">
        <f t="shared" si="1"/>
        <v>0</v>
      </c>
      <c r="N17" s="577">
        <f t="shared" si="0"/>
        <v>490.49099999999999</v>
      </c>
    </row>
    <row r="18" spans="1:16">
      <c r="A18" s="318"/>
      <c r="B18" s="573"/>
      <c r="C18" s="578"/>
      <c r="D18" s="578"/>
      <c r="E18" s="578"/>
      <c r="F18" s="578"/>
      <c r="G18" s="578"/>
      <c r="H18" s="578"/>
      <c r="I18" s="578"/>
      <c r="J18" s="578" t="s">
        <v>56</v>
      </c>
      <c r="K18" s="578"/>
      <c r="L18" s="578"/>
      <c r="M18" s="573"/>
      <c r="N18" s="574"/>
      <c r="P18" s="353"/>
    </row>
    <row r="19" spans="1:16" ht="13">
      <c r="A19" s="316" t="s">
        <v>231</v>
      </c>
      <c r="B19" s="573"/>
      <c r="C19" s="578"/>
      <c r="D19" s="578"/>
      <c r="E19" s="578"/>
      <c r="F19" s="578"/>
      <c r="G19" s="578"/>
      <c r="H19" s="578"/>
      <c r="I19" s="578"/>
      <c r="J19" s="578"/>
      <c r="K19" s="578"/>
      <c r="L19" s="578"/>
      <c r="M19" s="573"/>
      <c r="N19" s="574"/>
      <c r="P19" s="353"/>
    </row>
    <row r="20" spans="1:16" ht="13">
      <c r="A20" s="317" t="s">
        <v>232</v>
      </c>
      <c r="B20" s="573">
        <v>43.359000000000002</v>
      </c>
      <c r="C20" s="578">
        <v>43.359000000000002</v>
      </c>
      <c r="D20" s="578">
        <v>43.359000000000002</v>
      </c>
      <c r="E20" s="578">
        <v>43.359000000000002</v>
      </c>
      <c r="F20" s="578">
        <v>43.347000000000001</v>
      </c>
      <c r="G20" s="578">
        <v>43.3</v>
      </c>
      <c r="H20" s="578">
        <v>43.347000000000001</v>
      </c>
      <c r="I20" s="578">
        <v>0</v>
      </c>
      <c r="J20" s="578">
        <v>0</v>
      </c>
      <c r="K20" s="578">
        <v>0</v>
      </c>
      <c r="L20" s="578">
        <v>0</v>
      </c>
      <c r="M20" s="573">
        <v>0</v>
      </c>
      <c r="N20" s="574">
        <f>SUM(B20:M20)</f>
        <v>303.43</v>
      </c>
      <c r="P20" s="353"/>
    </row>
    <row r="21" spans="1:16" ht="13">
      <c r="A21" s="317" t="s">
        <v>233</v>
      </c>
      <c r="B21" s="573">
        <v>18.228999999999999</v>
      </c>
      <c r="C21" s="578">
        <v>11.869</v>
      </c>
      <c r="D21" s="578">
        <v>21.67</v>
      </c>
      <c r="E21" s="578">
        <v>18.100000000000001</v>
      </c>
      <c r="F21" s="578">
        <v>18.010999999999999</v>
      </c>
      <c r="G21" s="578">
        <v>17.899999999999999</v>
      </c>
      <c r="H21" s="578">
        <v>17.843</v>
      </c>
      <c r="I21" s="578">
        <v>0</v>
      </c>
      <c r="J21" s="578">
        <v>0</v>
      </c>
      <c r="K21" s="578">
        <v>0</v>
      </c>
      <c r="L21" s="578">
        <v>0</v>
      </c>
      <c r="M21" s="573">
        <v>0</v>
      </c>
      <c r="N21" s="574">
        <f t="shared" ref="N21:N22" si="2">SUM(B21:M21)</f>
        <v>123.622</v>
      </c>
      <c r="P21" s="353"/>
    </row>
    <row r="22" spans="1:16" ht="13">
      <c r="A22" s="317" t="s">
        <v>234</v>
      </c>
      <c r="B22" s="573">
        <v>1.7729999999999999</v>
      </c>
      <c r="C22" s="578">
        <v>1.7729999999999999</v>
      </c>
      <c r="D22" s="578">
        <v>1.7729999999999999</v>
      </c>
      <c r="E22" s="578">
        <v>1.7729999999999999</v>
      </c>
      <c r="F22" s="578">
        <v>1.7729999999999999</v>
      </c>
      <c r="G22" s="578">
        <v>1.8</v>
      </c>
      <c r="H22" s="578">
        <v>1.1639999999999999</v>
      </c>
      <c r="I22" s="578">
        <v>0</v>
      </c>
      <c r="J22" s="578">
        <v>0</v>
      </c>
      <c r="K22" s="578">
        <v>0</v>
      </c>
      <c r="L22" s="578">
        <v>0</v>
      </c>
      <c r="M22" s="573">
        <v>0</v>
      </c>
      <c r="N22" s="574">
        <f t="shared" si="2"/>
        <v>11.829000000000001</v>
      </c>
      <c r="P22" s="353"/>
    </row>
    <row r="23" spans="1:16" ht="13">
      <c r="A23" s="319" t="s">
        <v>235</v>
      </c>
      <c r="B23" s="573">
        <v>5.0369999999999999</v>
      </c>
      <c r="C23" s="578">
        <v>4.7649999999999997</v>
      </c>
      <c r="D23" s="578">
        <v>4.492</v>
      </c>
      <c r="E23" s="578">
        <v>4.2190000000000003</v>
      </c>
      <c r="F23" s="578">
        <v>3.9460000000000002</v>
      </c>
      <c r="G23" s="578">
        <v>3.7</v>
      </c>
      <c r="H23" s="578">
        <v>3.4009999999999998</v>
      </c>
      <c r="I23" s="578">
        <v>0</v>
      </c>
      <c r="J23" s="578">
        <v>0</v>
      </c>
      <c r="K23" s="578">
        <v>0</v>
      </c>
      <c r="L23" s="578">
        <v>0</v>
      </c>
      <c r="M23" s="573">
        <v>0</v>
      </c>
      <c r="N23" s="574">
        <f>SUM(B23:M23)</f>
        <v>29.560000000000002</v>
      </c>
      <c r="P23" s="353"/>
    </row>
    <row r="24" spans="1:16" ht="13">
      <c r="A24" s="554" t="s">
        <v>221</v>
      </c>
      <c r="B24" s="575">
        <f>SUM(B20:B23)</f>
        <v>68.39800000000001</v>
      </c>
      <c r="C24" s="576">
        <f t="shared" ref="C24:M24" si="3">SUM(C20:C23)</f>
        <v>61.766000000000005</v>
      </c>
      <c r="D24" s="576">
        <f t="shared" si="3"/>
        <v>71.293999999999997</v>
      </c>
      <c r="E24" s="576">
        <f t="shared" si="3"/>
        <v>67.451000000000008</v>
      </c>
      <c r="F24" s="576">
        <f t="shared" si="3"/>
        <v>67.077000000000012</v>
      </c>
      <c r="G24" s="576">
        <f t="shared" si="3"/>
        <v>66.699999999999989</v>
      </c>
      <c r="H24" s="576">
        <f t="shared" si="3"/>
        <v>65.754999999999995</v>
      </c>
      <c r="I24" s="576">
        <f t="shared" si="3"/>
        <v>0</v>
      </c>
      <c r="J24" s="576">
        <f t="shared" si="3"/>
        <v>0</v>
      </c>
      <c r="K24" s="576">
        <f t="shared" si="3"/>
        <v>0</v>
      </c>
      <c r="L24" s="576">
        <f t="shared" si="3"/>
        <v>0</v>
      </c>
      <c r="M24" s="576">
        <f t="shared" si="3"/>
        <v>0</v>
      </c>
      <c r="N24" s="577">
        <f>SUM(B24:M24)</f>
        <v>468.44100000000003</v>
      </c>
      <c r="P24" s="353"/>
    </row>
    <row r="25" spans="1:16" ht="13">
      <c r="A25" s="319"/>
      <c r="B25" s="573"/>
      <c r="C25" s="578"/>
      <c r="D25" s="578"/>
      <c r="E25" s="578"/>
      <c r="F25" s="578"/>
      <c r="G25" s="578"/>
      <c r="H25" s="578"/>
      <c r="I25" s="578"/>
      <c r="J25" s="578"/>
      <c r="K25" s="578"/>
      <c r="L25" s="578"/>
      <c r="M25" s="573"/>
      <c r="N25" s="574"/>
      <c r="P25" s="353"/>
    </row>
    <row r="26" spans="1:16" ht="13">
      <c r="A26" s="316"/>
      <c r="B26" s="573" t="s">
        <v>56</v>
      </c>
      <c r="C26" s="578" t="s">
        <v>56</v>
      </c>
      <c r="D26" s="578" t="s">
        <v>56</v>
      </c>
      <c r="E26" s="578"/>
      <c r="F26" s="578" t="s">
        <v>56</v>
      </c>
      <c r="G26" s="578"/>
      <c r="H26" s="579" t="s">
        <v>56</v>
      </c>
      <c r="I26" s="579" t="s">
        <v>56</v>
      </c>
      <c r="J26" s="579" t="s">
        <v>56</v>
      </c>
      <c r="K26" s="579" t="s">
        <v>56</v>
      </c>
      <c r="L26" s="579" t="s">
        <v>56</v>
      </c>
      <c r="M26" s="580" t="s">
        <v>56</v>
      </c>
      <c r="N26" s="574" t="s">
        <v>56</v>
      </c>
      <c r="P26" s="353"/>
    </row>
    <row r="27" spans="1:16" ht="13">
      <c r="A27" s="316" t="s">
        <v>222</v>
      </c>
      <c r="B27" s="573">
        <v>0</v>
      </c>
      <c r="C27" s="578">
        <v>0</v>
      </c>
      <c r="D27" s="578">
        <v>0</v>
      </c>
      <c r="E27" s="578">
        <v>0</v>
      </c>
      <c r="F27" s="578">
        <v>0</v>
      </c>
      <c r="G27" s="578">
        <v>0</v>
      </c>
      <c r="H27" s="579">
        <v>0</v>
      </c>
      <c r="I27" s="579">
        <v>0</v>
      </c>
      <c r="J27" s="579">
        <v>0</v>
      </c>
      <c r="K27" s="579">
        <v>0</v>
      </c>
      <c r="L27" s="579">
        <v>0</v>
      </c>
      <c r="M27" s="580">
        <v>0</v>
      </c>
      <c r="N27" s="574">
        <f>SUM(B27:M27)</f>
        <v>0</v>
      </c>
      <c r="P27" s="353"/>
    </row>
    <row r="28" spans="1:16" ht="13">
      <c r="A28" s="555" t="s">
        <v>224</v>
      </c>
      <c r="B28" s="575">
        <f t="shared" ref="B28:H28" si="4">SUM(B27:B27)</f>
        <v>0</v>
      </c>
      <c r="C28" s="576">
        <f t="shared" si="4"/>
        <v>0</v>
      </c>
      <c r="D28" s="576">
        <f t="shared" si="4"/>
        <v>0</v>
      </c>
      <c r="E28" s="576">
        <f>SUM(E27:E27)</f>
        <v>0</v>
      </c>
      <c r="F28" s="576">
        <f t="shared" si="4"/>
        <v>0</v>
      </c>
      <c r="G28" s="576">
        <f t="shared" si="4"/>
        <v>0</v>
      </c>
      <c r="H28" s="576">
        <f t="shared" si="4"/>
        <v>0</v>
      </c>
      <c r="I28" s="576">
        <f>SUM(I27:I27)</f>
        <v>0</v>
      </c>
      <c r="J28" s="576">
        <f>SUM(J27:J27)</f>
        <v>0</v>
      </c>
      <c r="K28" s="576">
        <f>SUM(K27:K27)</f>
        <v>0</v>
      </c>
      <c r="L28" s="576">
        <f>SUM(L27:L27)</f>
        <v>0</v>
      </c>
      <c r="M28" s="576">
        <f>SUM(M27:M27)</f>
        <v>0</v>
      </c>
      <c r="N28" s="577">
        <f>SUM(B28:M28)</f>
        <v>0</v>
      </c>
      <c r="P28" s="353"/>
    </row>
    <row r="29" spans="1:16" ht="13">
      <c r="A29" s="320"/>
      <c r="B29" s="573"/>
      <c r="C29" s="578"/>
      <c r="D29" s="578"/>
      <c r="E29" s="578"/>
      <c r="F29" s="578"/>
      <c r="G29" s="581"/>
      <c r="H29" s="578"/>
      <c r="I29" s="581"/>
      <c r="J29" s="578"/>
      <c r="K29" s="578"/>
      <c r="L29" s="581"/>
      <c r="M29" s="573"/>
      <c r="N29" s="574"/>
    </row>
    <row r="30" spans="1:16" ht="13">
      <c r="A30" s="321"/>
      <c r="B30" s="573"/>
      <c r="C30" s="578"/>
      <c r="D30" s="578"/>
      <c r="E30" s="578"/>
      <c r="F30" s="578"/>
      <c r="G30" s="578"/>
      <c r="H30" s="578"/>
      <c r="I30" s="578"/>
      <c r="J30" s="578"/>
      <c r="K30" s="578"/>
      <c r="L30" s="578"/>
      <c r="M30" s="573"/>
      <c r="N30" s="574"/>
    </row>
    <row r="31" spans="1:16" ht="13">
      <c r="A31" s="321" t="s">
        <v>205</v>
      </c>
      <c r="B31" s="573">
        <v>0</v>
      </c>
      <c r="C31" s="578">
        <v>0</v>
      </c>
      <c r="D31" s="578">
        <v>0</v>
      </c>
      <c r="E31" s="578">
        <v>0</v>
      </c>
      <c r="F31" s="578">
        <v>0</v>
      </c>
      <c r="G31" s="578">
        <v>0</v>
      </c>
      <c r="H31" s="579">
        <v>0</v>
      </c>
      <c r="I31" s="579">
        <v>0</v>
      </c>
      <c r="J31" s="579">
        <v>0</v>
      </c>
      <c r="K31" s="579">
        <v>0</v>
      </c>
      <c r="L31" s="579">
        <v>0</v>
      </c>
      <c r="M31" s="580">
        <v>0</v>
      </c>
      <c r="N31" s="574">
        <f>SUM(B31:M31)</f>
        <v>0</v>
      </c>
    </row>
    <row r="32" spans="1:16">
      <c r="A32" s="318"/>
      <c r="B32" s="573"/>
      <c r="C32" s="578"/>
      <c r="D32" s="578"/>
      <c r="E32" s="578"/>
      <c r="F32" s="578"/>
      <c r="G32" s="578"/>
      <c r="H32" s="579"/>
      <c r="I32" s="579"/>
      <c r="J32" s="579"/>
      <c r="K32" s="579"/>
      <c r="L32" s="579"/>
      <c r="M32" s="582"/>
      <c r="N32" s="574" t="s">
        <v>56</v>
      </c>
    </row>
    <row r="33" spans="1:19" ht="13">
      <c r="A33" s="556" t="s">
        <v>211</v>
      </c>
      <c r="B33" s="575">
        <f t="shared" ref="B33:G33" si="5">SUM(B31:B32)</f>
        <v>0</v>
      </c>
      <c r="C33" s="576">
        <f t="shared" si="5"/>
        <v>0</v>
      </c>
      <c r="D33" s="576">
        <f t="shared" si="5"/>
        <v>0</v>
      </c>
      <c r="E33" s="576">
        <f t="shared" si="5"/>
        <v>0</v>
      </c>
      <c r="F33" s="576">
        <f t="shared" si="5"/>
        <v>0</v>
      </c>
      <c r="G33" s="576">
        <f t="shared" si="5"/>
        <v>0</v>
      </c>
      <c r="H33" s="576">
        <f>SUM(H30:H32)</f>
        <v>0</v>
      </c>
      <c r="I33" s="576">
        <f>SUM(I30:I32)</f>
        <v>0</v>
      </c>
      <c r="J33" s="576">
        <f>SUM(J31:J32)</f>
        <v>0</v>
      </c>
      <c r="K33" s="576">
        <f>SUM(K31:K32)</f>
        <v>0</v>
      </c>
      <c r="L33" s="576">
        <f>SUM(L31:L32)</f>
        <v>0</v>
      </c>
      <c r="M33" s="576">
        <f>SUM(M31:M32)</f>
        <v>0</v>
      </c>
      <c r="N33" s="577">
        <f>SUM(B33:M33)</f>
        <v>0</v>
      </c>
      <c r="O33" s="28"/>
    </row>
    <row r="34" spans="1:19" ht="10.5" customHeight="1">
      <c r="A34" s="557"/>
      <c r="B34" s="583"/>
      <c r="C34" s="581"/>
      <c r="D34" s="581"/>
      <c r="E34" s="581"/>
      <c r="F34" s="581"/>
      <c r="G34" s="581"/>
      <c r="H34" s="581"/>
      <c r="I34" s="581"/>
      <c r="J34" s="581"/>
      <c r="K34" s="581"/>
      <c r="L34" s="581"/>
      <c r="M34" s="581"/>
      <c r="N34" s="584"/>
    </row>
    <row r="35" spans="1:19" ht="15" customHeight="1">
      <c r="A35" s="554" t="s">
        <v>225</v>
      </c>
      <c r="B35" s="585">
        <v>0</v>
      </c>
      <c r="C35" s="586">
        <v>0</v>
      </c>
      <c r="D35" s="586">
        <v>0</v>
      </c>
      <c r="E35" s="586">
        <v>0</v>
      </c>
      <c r="F35" s="586">
        <v>0</v>
      </c>
      <c r="G35" s="586">
        <v>0</v>
      </c>
      <c r="H35" s="586">
        <v>0</v>
      </c>
      <c r="I35" s="586">
        <v>0</v>
      </c>
      <c r="J35" s="576">
        <v>0</v>
      </c>
      <c r="K35" s="576">
        <v>0</v>
      </c>
      <c r="L35" s="586">
        <v>0</v>
      </c>
      <c r="M35" s="586">
        <v>0</v>
      </c>
      <c r="N35" s="587">
        <f>SUM(B35:M35)</f>
        <v>0</v>
      </c>
      <c r="O35" s="30"/>
      <c r="P35" s="30"/>
      <c r="Q35" s="30"/>
      <c r="R35" s="30"/>
      <c r="S35" s="35"/>
    </row>
    <row r="36" spans="1:19" ht="15" customHeight="1" thickBot="1">
      <c r="A36" s="322" t="s">
        <v>236</v>
      </c>
      <c r="B36" s="588">
        <f t="shared" ref="B36:L36" si="6">B17+B24+B28+B33+B35</f>
        <v>93.581000000000003</v>
      </c>
      <c r="C36" s="588">
        <f t="shared" si="6"/>
        <v>116.93800000000002</v>
      </c>
      <c r="D36" s="588">
        <f t="shared" si="6"/>
        <v>109.446</v>
      </c>
      <c r="E36" s="588">
        <f t="shared" si="6"/>
        <v>117.25900000000001</v>
      </c>
      <c r="F36" s="588">
        <f t="shared" si="6"/>
        <v>109.96800000000002</v>
      </c>
      <c r="G36" s="588">
        <f t="shared" si="6"/>
        <v>318.69299999999998</v>
      </c>
      <c r="H36" s="588">
        <f>H17+H24+H28+H33+H35</f>
        <v>93.046999999999997</v>
      </c>
      <c r="I36" s="588">
        <f t="shared" si="6"/>
        <v>0</v>
      </c>
      <c r="J36" s="588">
        <f t="shared" si="6"/>
        <v>0</v>
      </c>
      <c r="K36" s="588">
        <f t="shared" si="6"/>
        <v>0</v>
      </c>
      <c r="L36" s="588">
        <f t="shared" si="6"/>
        <v>0</v>
      </c>
      <c r="M36" s="588">
        <f>M17+M24+M28+M33+M35</f>
        <v>0</v>
      </c>
      <c r="N36" s="589">
        <f>SUM(B36:M36)</f>
        <v>958.93200000000002</v>
      </c>
      <c r="O36" s="30"/>
      <c r="P36" s="30"/>
      <c r="Q36" s="30"/>
      <c r="R36" s="30"/>
      <c r="S36" s="35"/>
    </row>
    <row r="37" spans="1:19" s="160" customFormat="1" ht="26.25" customHeight="1" thickBot="1">
      <c r="A37" s="530" t="s">
        <v>237</v>
      </c>
      <c r="B37" s="590">
        <f>B36+0.05</f>
        <v>93.631</v>
      </c>
      <c r="C37" s="591">
        <f>C36+0.013</f>
        <v>116.95100000000002</v>
      </c>
      <c r="D37" s="591">
        <f>D36+0.018</f>
        <v>109.464</v>
      </c>
      <c r="E37" s="591">
        <f>E36+0.025</f>
        <v>117.28400000000002</v>
      </c>
      <c r="F37" s="591">
        <f>F36+0.025</f>
        <v>109.99300000000002</v>
      </c>
      <c r="G37" s="591">
        <f>G36+0.029</f>
        <v>318.72199999999998</v>
      </c>
      <c r="H37" s="591">
        <f>H36+0.038</f>
        <v>93.084999999999994</v>
      </c>
      <c r="I37" s="591">
        <v>0</v>
      </c>
      <c r="J37" s="591">
        <v>0</v>
      </c>
      <c r="K37" s="591">
        <v>0</v>
      </c>
      <c r="L37" s="591">
        <v>0</v>
      </c>
      <c r="M37" s="591">
        <v>0</v>
      </c>
      <c r="N37" s="592">
        <f>SUM(B37:M37)</f>
        <v>959.13000000000011</v>
      </c>
      <c r="O37" s="531"/>
    </row>
    <row r="38" spans="1:19" ht="13">
      <c r="A38" s="36"/>
      <c r="B38" s="37"/>
      <c r="C38" s="37"/>
      <c r="D38" s="37"/>
      <c r="E38" s="37"/>
      <c r="F38" s="37"/>
      <c r="G38" s="37"/>
      <c r="H38" s="37"/>
      <c r="I38" s="37"/>
      <c r="J38" s="37"/>
      <c r="K38" s="37"/>
      <c r="L38" s="37"/>
      <c r="M38" s="37"/>
      <c r="N38" s="37"/>
    </row>
    <row r="39" spans="1:19" ht="14">
      <c r="A39" s="418" t="s">
        <v>63</v>
      </c>
      <c r="B39" s="417"/>
      <c r="C39" s="417"/>
      <c r="D39" s="417"/>
      <c r="E39" s="417"/>
      <c r="F39" s="417"/>
      <c r="G39" s="417"/>
      <c r="H39" s="417"/>
      <c r="I39" s="417"/>
      <c r="J39" s="417"/>
      <c r="K39" s="417"/>
      <c r="L39" s="417"/>
      <c r="M39" s="417"/>
      <c r="N39" s="417"/>
    </row>
    <row r="40" spans="1:19" ht="16.5">
      <c r="A40" s="524" t="s">
        <v>269</v>
      </c>
      <c r="B40" s="525"/>
      <c r="C40" s="525"/>
      <c r="D40" s="525"/>
      <c r="E40" s="525"/>
      <c r="F40" s="525"/>
      <c r="G40" s="525"/>
      <c r="H40" s="525"/>
      <c r="I40" s="525"/>
      <c r="J40" s="525"/>
      <c r="K40" s="525"/>
      <c r="L40" s="525"/>
      <c r="M40" s="525"/>
      <c r="N40" s="525"/>
    </row>
    <row r="41" spans="1:19" ht="15" customHeight="1">
      <c r="A41" s="752" t="s">
        <v>270</v>
      </c>
      <c r="B41" s="752"/>
      <c r="C41" s="752"/>
      <c r="D41" s="752"/>
      <c r="E41" s="752"/>
      <c r="F41" s="752"/>
      <c r="G41" s="752"/>
      <c r="H41" s="752"/>
      <c r="I41" s="752"/>
      <c r="J41" s="752"/>
      <c r="K41" s="752"/>
      <c r="L41" s="752"/>
      <c r="M41" s="752"/>
      <c r="N41" s="752"/>
    </row>
    <row r="42" spans="1:19" ht="15" customHeight="1">
      <c r="A42" s="526" t="s">
        <v>271</v>
      </c>
      <c r="B42" s="527"/>
      <c r="C42" s="527"/>
      <c r="D42" s="527"/>
      <c r="E42" s="527"/>
      <c r="F42" s="527"/>
      <c r="G42" s="527"/>
      <c r="H42" s="527"/>
      <c r="I42" s="527"/>
      <c r="J42" s="527"/>
      <c r="K42" s="527"/>
      <c r="L42" s="527"/>
      <c r="M42" s="527"/>
      <c r="N42" s="527"/>
    </row>
    <row r="43" spans="1:19" ht="15" customHeight="1">
      <c r="A43" s="528" t="s">
        <v>277</v>
      </c>
      <c r="B43" s="527"/>
      <c r="C43" s="527"/>
      <c r="D43" s="527"/>
      <c r="E43" s="527"/>
      <c r="F43" s="527"/>
      <c r="G43" s="527"/>
      <c r="H43" s="527"/>
      <c r="I43" s="527"/>
      <c r="J43" s="527"/>
      <c r="K43" s="527"/>
      <c r="L43" s="527"/>
      <c r="M43" s="527"/>
      <c r="N43" s="527"/>
    </row>
    <row r="44" spans="1:19" ht="15" customHeight="1">
      <c r="A44" s="528" t="s">
        <v>361</v>
      </c>
      <c r="B44" s="495"/>
      <c r="C44" s="495"/>
      <c r="D44" s="495"/>
      <c r="E44" s="495"/>
      <c r="F44" s="495"/>
      <c r="G44" s="495"/>
      <c r="H44" s="495"/>
      <c r="I44" s="495"/>
      <c r="J44" s="495"/>
      <c r="K44" s="495"/>
      <c r="L44" s="495"/>
      <c r="M44" s="495"/>
      <c r="N44" s="495"/>
    </row>
    <row r="45" spans="1:19" ht="14.5">
      <c r="A45" s="235" t="s">
        <v>64</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D80C-74B1-49BA-BCE4-67DCB4CEA444}">
  <sheetPr>
    <pageSetUpPr fitToPage="1"/>
  </sheetPr>
  <dimension ref="A1:S42"/>
  <sheetViews>
    <sheetView showGridLines="0" zoomScaleNormal="100" zoomScaleSheetLayoutView="75" workbookViewId="0">
      <selection activeCell="H12" sqref="H12"/>
    </sheetView>
  </sheetViews>
  <sheetFormatPr defaultColWidth="9.26953125" defaultRowHeight="12.5"/>
  <cols>
    <col min="1" max="1" width="55.26953125" style="680" customWidth="1"/>
    <col min="2" max="13" width="11.54296875" style="680" customWidth="1"/>
    <col min="14" max="14" width="15.7265625" style="680" bestFit="1" customWidth="1"/>
    <col min="15" max="15" width="9.7265625" style="680" bestFit="1" customWidth="1"/>
    <col min="16" max="16" width="22.7265625" style="680" bestFit="1" customWidth="1"/>
    <col min="17" max="17" width="22.26953125" style="680" customWidth="1"/>
    <col min="18" max="16384" width="9.26953125" style="680"/>
  </cols>
  <sheetData>
    <row r="1" spans="1:16" ht="14.5">
      <c r="A1" s="682"/>
    </row>
    <row r="3" spans="1:16" ht="13">
      <c r="E3" s="148" t="s">
        <v>338</v>
      </c>
    </row>
    <row r="4" spans="1:16" ht="13">
      <c r="C4" s="681"/>
      <c r="D4" s="681"/>
      <c r="E4" s="161" t="s">
        <v>363</v>
      </c>
      <c r="F4" s="681"/>
      <c r="G4" s="681"/>
    </row>
    <row r="5" spans="1:16" ht="13">
      <c r="D5" s="681"/>
      <c r="E5" s="198" t="str">
        <f>'Program MW '!H3</f>
        <v>July 2021</v>
      </c>
      <c r="F5" s="681"/>
    </row>
    <row r="6" spans="1:16" ht="13">
      <c r="E6" s="198"/>
    </row>
    <row r="7" spans="1:16" ht="13.5" thickBot="1">
      <c r="A7" s="22"/>
    </row>
    <row r="8" spans="1:16" ht="32.25" customHeight="1" thickBot="1">
      <c r="A8" s="358" t="s">
        <v>189</v>
      </c>
      <c r="B8" s="24" t="s">
        <v>41</v>
      </c>
      <c r="C8" s="24" t="s">
        <v>42</v>
      </c>
      <c r="D8" s="24" t="s">
        <v>43</v>
      </c>
      <c r="E8" s="24" t="s">
        <v>44</v>
      </c>
      <c r="F8" s="24" t="s">
        <v>31</v>
      </c>
      <c r="G8" s="24" t="s">
        <v>45</v>
      </c>
      <c r="H8" s="24" t="s">
        <v>59</v>
      </c>
      <c r="I8" s="24" t="s">
        <v>66</v>
      </c>
      <c r="J8" s="24" t="s">
        <v>67</v>
      </c>
      <c r="K8" s="24" t="s">
        <v>61</v>
      </c>
      <c r="L8" s="24" t="s">
        <v>68</v>
      </c>
      <c r="M8" s="24" t="s">
        <v>62</v>
      </c>
      <c r="N8" s="452" t="s">
        <v>215</v>
      </c>
    </row>
    <row r="9" spans="1:16" ht="26">
      <c r="A9" s="359" t="s">
        <v>339</v>
      </c>
      <c r="B9" s="683"/>
      <c r="C9" s="683"/>
      <c r="N9" s="684"/>
    </row>
    <row r="10" spans="1:16" ht="6" customHeight="1">
      <c r="A10" s="316"/>
      <c r="B10" s="683"/>
      <c r="C10" s="683"/>
      <c r="N10" s="685"/>
    </row>
    <row r="11" spans="1:16" ht="13">
      <c r="A11" s="316" t="s">
        <v>191</v>
      </c>
      <c r="B11" s="683"/>
      <c r="C11" s="683"/>
      <c r="N11" s="685"/>
    </row>
    <row r="12" spans="1:16" ht="13">
      <c r="A12" s="317" t="s">
        <v>340</v>
      </c>
      <c r="B12" s="686">
        <v>0</v>
      </c>
      <c r="C12" s="686">
        <v>0</v>
      </c>
      <c r="D12" s="686">
        <v>0</v>
      </c>
      <c r="E12" s="686">
        <v>0</v>
      </c>
      <c r="F12" s="686">
        <v>0</v>
      </c>
      <c r="G12" s="686">
        <v>0</v>
      </c>
      <c r="H12" s="686">
        <v>10.292</v>
      </c>
      <c r="I12" s="686">
        <v>0</v>
      </c>
      <c r="J12" s="686">
        <v>0</v>
      </c>
      <c r="K12" s="686">
        <v>0</v>
      </c>
      <c r="L12" s="686">
        <v>0</v>
      </c>
      <c r="M12" s="686">
        <v>0</v>
      </c>
      <c r="N12" s="687">
        <f>SUM(B12:M12)</f>
        <v>10.292</v>
      </c>
    </row>
    <row r="13" spans="1:16" ht="13">
      <c r="A13" s="553" t="s">
        <v>218</v>
      </c>
      <c r="B13" s="689">
        <f t="shared" ref="B13:M13" si="0">SUM(B12:B12)</f>
        <v>0</v>
      </c>
      <c r="C13" s="689">
        <f t="shared" si="0"/>
        <v>0</v>
      </c>
      <c r="D13" s="689">
        <f t="shared" si="0"/>
        <v>0</v>
      </c>
      <c r="E13" s="689">
        <f t="shared" si="0"/>
        <v>0</v>
      </c>
      <c r="F13" s="689">
        <f t="shared" si="0"/>
        <v>0</v>
      </c>
      <c r="G13" s="689">
        <f t="shared" si="0"/>
        <v>0</v>
      </c>
      <c r="H13" s="689">
        <f t="shared" si="0"/>
        <v>10.292</v>
      </c>
      <c r="I13" s="689">
        <f t="shared" si="0"/>
        <v>0</v>
      </c>
      <c r="J13" s="689">
        <f t="shared" si="0"/>
        <v>0</v>
      </c>
      <c r="K13" s="689">
        <f t="shared" si="0"/>
        <v>0</v>
      </c>
      <c r="L13" s="689">
        <f t="shared" si="0"/>
        <v>0</v>
      </c>
      <c r="M13" s="689">
        <f t="shared" si="0"/>
        <v>0</v>
      </c>
      <c r="N13" s="690">
        <f>SUM(B13:M13)</f>
        <v>10.292</v>
      </c>
    </row>
    <row r="14" spans="1:16">
      <c r="A14" s="685"/>
      <c r="B14" s="686"/>
      <c r="C14" s="686"/>
      <c r="D14" s="686"/>
      <c r="E14" s="686"/>
      <c r="F14" s="686"/>
      <c r="G14" s="686"/>
      <c r="H14" s="686"/>
      <c r="I14" s="686"/>
      <c r="J14" s="686" t="s">
        <v>56</v>
      </c>
      <c r="K14" s="686"/>
      <c r="L14" s="686"/>
      <c r="M14" s="686"/>
      <c r="N14" s="687"/>
      <c r="P14" s="691"/>
    </row>
    <row r="15" spans="1:16" ht="13">
      <c r="A15" s="316" t="s">
        <v>231</v>
      </c>
      <c r="B15" s="686"/>
      <c r="C15" s="686"/>
      <c r="D15" s="686"/>
      <c r="E15" s="686"/>
      <c r="F15" s="686"/>
      <c r="G15" s="686"/>
      <c r="H15" s="686"/>
      <c r="I15" s="686"/>
      <c r="J15" s="686"/>
      <c r="K15" s="686"/>
      <c r="L15" s="686"/>
      <c r="M15" s="686"/>
      <c r="N15" s="687"/>
      <c r="P15" s="691"/>
    </row>
    <row r="16" spans="1:16" ht="13">
      <c r="A16" s="317" t="s">
        <v>232</v>
      </c>
      <c r="B16" s="686">
        <v>0</v>
      </c>
      <c r="C16" s="686">
        <v>0</v>
      </c>
      <c r="D16" s="686">
        <v>0</v>
      </c>
      <c r="E16" s="686">
        <v>0</v>
      </c>
      <c r="F16" s="686">
        <v>0</v>
      </c>
      <c r="G16" s="686">
        <v>0</v>
      </c>
      <c r="H16" s="686">
        <v>0</v>
      </c>
      <c r="I16" s="686">
        <v>0</v>
      </c>
      <c r="J16" s="686">
        <v>0</v>
      </c>
      <c r="K16" s="686">
        <v>0</v>
      </c>
      <c r="L16" s="686">
        <v>0</v>
      </c>
      <c r="M16" s="686">
        <v>0</v>
      </c>
      <c r="N16" s="687">
        <f>SUM(B16:M16)</f>
        <v>0</v>
      </c>
      <c r="P16" s="691"/>
    </row>
    <row r="17" spans="1:19" ht="13">
      <c r="A17" s="317" t="s">
        <v>341</v>
      </c>
      <c r="B17" s="686">
        <v>0</v>
      </c>
      <c r="C17" s="686">
        <v>0</v>
      </c>
      <c r="D17" s="686">
        <v>0</v>
      </c>
      <c r="E17" s="686">
        <v>0</v>
      </c>
      <c r="F17" s="686">
        <v>0</v>
      </c>
      <c r="G17" s="686">
        <v>0</v>
      </c>
      <c r="H17" s="686">
        <v>0</v>
      </c>
      <c r="I17" s="686">
        <v>0</v>
      </c>
      <c r="J17" s="686">
        <v>0</v>
      </c>
      <c r="K17" s="686">
        <v>0</v>
      </c>
      <c r="L17" s="686">
        <v>0</v>
      </c>
      <c r="M17" s="686">
        <v>0</v>
      </c>
      <c r="N17" s="687">
        <f>SUM(B17:M17)</f>
        <v>0</v>
      </c>
      <c r="P17" s="691"/>
    </row>
    <row r="18" spans="1:19" ht="13">
      <c r="A18" s="317" t="s">
        <v>342</v>
      </c>
      <c r="B18" s="686">
        <v>0</v>
      </c>
      <c r="C18" s="686">
        <v>0</v>
      </c>
      <c r="D18" s="686">
        <v>0</v>
      </c>
      <c r="E18" s="686">
        <v>0</v>
      </c>
      <c r="F18" s="686">
        <v>0</v>
      </c>
      <c r="G18" s="686">
        <v>0</v>
      </c>
      <c r="H18" s="686">
        <v>0</v>
      </c>
      <c r="I18" s="686">
        <v>0</v>
      </c>
      <c r="J18" s="686">
        <v>0</v>
      </c>
      <c r="K18" s="686">
        <v>0</v>
      </c>
      <c r="L18" s="686">
        <v>0</v>
      </c>
      <c r="M18" s="686">
        <v>0</v>
      </c>
      <c r="N18" s="687">
        <f>SUM(B18:M18)</f>
        <v>0</v>
      </c>
      <c r="P18" s="691"/>
    </row>
    <row r="19" spans="1:19" ht="13">
      <c r="A19" s="319" t="s">
        <v>235</v>
      </c>
      <c r="B19" s="686">
        <v>0</v>
      </c>
      <c r="C19" s="686">
        <v>0</v>
      </c>
      <c r="D19" s="686">
        <v>0</v>
      </c>
      <c r="E19" s="686">
        <v>0</v>
      </c>
      <c r="F19" s="686">
        <v>0</v>
      </c>
      <c r="G19" s="686">
        <v>0</v>
      </c>
      <c r="H19" s="686">
        <v>0</v>
      </c>
      <c r="I19" s="686">
        <v>0</v>
      </c>
      <c r="J19" s="686">
        <v>0</v>
      </c>
      <c r="K19" s="686">
        <v>0</v>
      </c>
      <c r="L19" s="686">
        <v>0</v>
      </c>
      <c r="M19" s="686">
        <v>0</v>
      </c>
      <c r="N19" s="687">
        <f>SUM(B19:M19)</f>
        <v>0</v>
      </c>
      <c r="P19" s="691"/>
    </row>
    <row r="20" spans="1:19" ht="13">
      <c r="A20" s="554" t="s">
        <v>221</v>
      </c>
      <c r="B20" s="689">
        <f t="shared" ref="B20:M20" si="1">SUM(B16:B19)</f>
        <v>0</v>
      </c>
      <c r="C20" s="689">
        <f t="shared" si="1"/>
        <v>0</v>
      </c>
      <c r="D20" s="689">
        <f t="shared" si="1"/>
        <v>0</v>
      </c>
      <c r="E20" s="689">
        <f t="shared" si="1"/>
        <v>0</v>
      </c>
      <c r="F20" s="689">
        <f t="shared" si="1"/>
        <v>0</v>
      </c>
      <c r="G20" s="689">
        <f t="shared" si="1"/>
        <v>0</v>
      </c>
      <c r="H20" s="689">
        <f t="shared" si="1"/>
        <v>0</v>
      </c>
      <c r="I20" s="689">
        <f t="shared" si="1"/>
        <v>0</v>
      </c>
      <c r="J20" s="689">
        <f t="shared" si="1"/>
        <v>0</v>
      </c>
      <c r="K20" s="689">
        <f t="shared" si="1"/>
        <v>0</v>
      </c>
      <c r="L20" s="689">
        <f t="shared" si="1"/>
        <v>0</v>
      </c>
      <c r="M20" s="689">
        <f t="shared" si="1"/>
        <v>0</v>
      </c>
      <c r="N20" s="690">
        <f>SUM(B20:M20)</f>
        <v>0</v>
      </c>
      <c r="P20" s="691"/>
    </row>
    <row r="21" spans="1:19" ht="13">
      <c r="A21" s="319"/>
      <c r="B21" s="686"/>
      <c r="C21" s="686"/>
      <c r="D21" s="686"/>
      <c r="E21" s="686"/>
      <c r="F21" s="686"/>
      <c r="G21" s="686"/>
      <c r="H21" s="686"/>
      <c r="I21" s="686"/>
      <c r="J21" s="686"/>
      <c r="K21" s="686"/>
      <c r="L21" s="686"/>
      <c r="M21" s="686"/>
      <c r="N21" s="687"/>
      <c r="P21" s="691"/>
    </row>
    <row r="22" spans="1:19" ht="13">
      <c r="A22" s="316"/>
      <c r="B22" s="686" t="s">
        <v>56</v>
      </c>
      <c r="C22" s="686" t="s">
        <v>56</v>
      </c>
      <c r="D22" s="686" t="s">
        <v>56</v>
      </c>
      <c r="E22" s="686"/>
      <c r="F22" s="686" t="s">
        <v>56</v>
      </c>
      <c r="G22" s="686"/>
      <c r="H22" s="692" t="s">
        <v>56</v>
      </c>
      <c r="I22" s="692" t="s">
        <v>56</v>
      </c>
      <c r="J22" s="692" t="s">
        <v>56</v>
      </c>
      <c r="K22" s="692" t="s">
        <v>56</v>
      </c>
      <c r="L22" s="692" t="s">
        <v>56</v>
      </c>
      <c r="M22" s="692" t="s">
        <v>56</v>
      </c>
      <c r="N22" s="687" t="s">
        <v>56</v>
      </c>
      <c r="P22" s="691"/>
    </row>
    <row r="23" spans="1:19" ht="13">
      <c r="A23" s="316" t="s">
        <v>222</v>
      </c>
      <c r="B23" s="686">
        <v>0</v>
      </c>
      <c r="C23" s="686">
        <v>0</v>
      </c>
      <c r="D23" s="686">
        <v>0</v>
      </c>
      <c r="E23" s="686">
        <v>0</v>
      </c>
      <c r="F23" s="686">
        <v>0</v>
      </c>
      <c r="G23" s="686">
        <v>0</v>
      </c>
      <c r="H23" s="692">
        <v>0</v>
      </c>
      <c r="I23" s="692">
        <v>0</v>
      </c>
      <c r="J23" s="692">
        <v>0</v>
      </c>
      <c r="K23" s="692">
        <v>0</v>
      </c>
      <c r="L23" s="692">
        <v>0</v>
      </c>
      <c r="M23" s="692">
        <v>0</v>
      </c>
      <c r="N23" s="687">
        <f>SUM(B23:M23)</f>
        <v>0</v>
      </c>
      <c r="P23" s="691"/>
    </row>
    <row r="24" spans="1:19" ht="13">
      <c r="A24" s="555" t="s">
        <v>224</v>
      </c>
      <c r="B24" s="689">
        <f t="shared" ref="B24:M24" si="2">SUM(B23:B23)</f>
        <v>0</v>
      </c>
      <c r="C24" s="689">
        <f t="shared" si="2"/>
        <v>0</v>
      </c>
      <c r="D24" s="689">
        <f t="shared" si="2"/>
        <v>0</v>
      </c>
      <c r="E24" s="689">
        <f t="shared" si="2"/>
        <v>0</v>
      </c>
      <c r="F24" s="689">
        <f t="shared" si="2"/>
        <v>0</v>
      </c>
      <c r="G24" s="689">
        <f t="shared" si="2"/>
        <v>0</v>
      </c>
      <c r="H24" s="689">
        <f t="shared" si="2"/>
        <v>0</v>
      </c>
      <c r="I24" s="689">
        <f t="shared" si="2"/>
        <v>0</v>
      </c>
      <c r="J24" s="689">
        <f t="shared" si="2"/>
        <v>0</v>
      </c>
      <c r="K24" s="689">
        <f t="shared" si="2"/>
        <v>0</v>
      </c>
      <c r="L24" s="689">
        <f t="shared" si="2"/>
        <v>0</v>
      </c>
      <c r="M24" s="689">
        <f t="shared" si="2"/>
        <v>0</v>
      </c>
      <c r="N24" s="690">
        <f>SUM(B24:M24)</f>
        <v>0</v>
      </c>
      <c r="P24" s="691"/>
    </row>
    <row r="25" spans="1:19" ht="13">
      <c r="A25" s="320"/>
      <c r="B25" s="686"/>
      <c r="C25" s="686"/>
      <c r="D25" s="686"/>
      <c r="E25" s="686"/>
      <c r="F25" s="686"/>
      <c r="G25" s="693"/>
      <c r="H25" s="686"/>
      <c r="I25" s="693"/>
      <c r="J25" s="686"/>
      <c r="K25" s="686"/>
      <c r="L25" s="693"/>
      <c r="M25" s="686"/>
      <c r="N25" s="687"/>
    </row>
    <row r="26" spans="1:19" ht="13">
      <c r="A26" s="321"/>
      <c r="B26" s="686"/>
      <c r="C26" s="686"/>
      <c r="D26" s="686"/>
      <c r="E26" s="686"/>
      <c r="F26" s="686"/>
      <c r="G26" s="686"/>
      <c r="H26" s="686"/>
      <c r="I26" s="686"/>
      <c r="J26" s="686"/>
      <c r="K26" s="686"/>
      <c r="L26" s="686"/>
      <c r="M26" s="686"/>
      <c r="N26" s="687"/>
    </row>
    <row r="27" spans="1:19" ht="13">
      <c r="A27" s="321" t="s">
        <v>205</v>
      </c>
      <c r="B27" s="686">
        <v>0</v>
      </c>
      <c r="C27" s="686">
        <v>0</v>
      </c>
      <c r="D27" s="686">
        <v>0</v>
      </c>
      <c r="E27" s="686">
        <v>0</v>
      </c>
      <c r="F27" s="686">
        <v>0</v>
      </c>
      <c r="G27" s="686">
        <v>0</v>
      </c>
      <c r="H27" s="692">
        <v>0</v>
      </c>
      <c r="I27" s="692">
        <v>0</v>
      </c>
      <c r="J27" s="692">
        <v>0</v>
      </c>
      <c r="K27" s="692">
        <v>0</v>
      </c>
      <c r="L27" s="692">
        <v>0</v>
      </c>
      <c r="M27" s="692">
        <v>0</v>
      </c>
      <c r="N27" s="687">
        <f>SUM(B27:M27)</f>
        <v>0</v>
      </c>
    </row>
    <row r="28" spans="1:19">
      <c r="A28" s="685"/>
      <c r="B28" s="686"/>
      <c r="C28" s="686"/>
      <c r="D28" s="686"/>
      <c r="E28" s="686"/>
      <c r="F28" s="686"/>
      <c r="G28" s="686"/>
      <c r="H28" s="692"/>
      <c r="I28" s="692"/>
      <c r="J28" s="692"/>
      <c r="K28" s="692"/>
      <c r="L28" s="692"/>
      <c r="M28" s="694"/>
      <c r="N28" s="687" t="s">
        <v>56</v>
      </c>
    </row>
    <row r="29" spans="1:19" ht="13">
      <c r="A29" s="556" t="s">
        <v>211</v>
      </c>
      <c r="B29" s="689">
        <f t="shared" ref="B29:G29" si="3">SUM(B27:B28)</f>
        <v>0</v>
      </c>
      <c r="C29" s="689">
        <f t="shared" si="3"/>
        <v>0</v>
      </c>
      <c r="D29" s="689">
        <f t="shared" si="3"/>
        <v>0</v>
      </c>
      <c r="E29" s="689">
        <f t="shared" si="3"/>
        <v>0</v>
      </c>
      <c r="F29" s="689">
        <f t="shared" si="3"/>
        <v>0</v>
      </c>
      <c r="G29" s="689">
        <f t="shared" si="3"/>
        <v>0</v>
      </c>
      <c r="H29" s="689">
        <f>SUM(H26:H28)</f>
        <v>0</v>
      </c>
      <c r="I29" s="689">
        <f>SUM(I26:I28)</f>
        <v>0</v>
      </c>
      <c r="J29" s="689">
        <f>SUM(J27:J28)</f>
        <v>0</v>
      </c>
      <c r="K29" s="689">
        <f>SUM(K27:K28)</f>
        <v>0</v>
      </c>
      <c r="L29" s="689">
        <f>SUM(L27:L28)</f>
        <v>0</v>
      </c>
      <c r="M29" s="689">
        <f>SUM(M27:M28)</f>
        <v>0</v>
      </c>
      <c r="N29" s="690">
        <f>SUM(B29:M29)</f>
        <v>0</v>
      </c>
      <c r="O29" s="688"/>
    </row>
    <row r="30" spans="1:19" ht="10.5" customHeight="1">
      <c r="A30" s="695"/>
      <c r="B30" s="693"/>
      <c r="C30" s="693"/>
      <c r="D30" s="693"/>
      <c r="E30" s="693"/>
      <c r="F30" s="693"/>
      <c r="G30" s="693"/>
      <c r="H30" s="693"/>
      <c r="I30" s="693"/>
      <c r="J30" s="693"/>
      <c r="K30" s="693"/>
      <c r="L30" s="693"/>
      <c r="M30" s="693"/>
      <c r="N30" s="696"/>
    </row>
    <row r="31" spans="1:19" ht="15" customHeight="1">
      <c r="A31" s="554" t="s">
        <v>225</v>
      </c>
      <c r="B31" s="697">
        <v>0</v>
      </c>
      <c r="C31" s="697">
        <v>0</v>
      </c>
      <c r="D31" s="697">
        <v>0</v>
      </c>
      <c r="E31" s="697">
        <v>0</v>
      </c>
      <c r="F31" s="697">
        <v>0</v>
      </c>
      <c r="G31" s="697">
        <v>0</v>
      </c>
      <c r="H31" s="697">
        <v>0</v>
      </c>
      <c r="I31" s="697">
        <v>0</v>
      </c>
      <c r="J31" s="689">
        <v>0</v>
      </c>
      <c r="K31" s="689">
        <v>0</v>
      </c>
      <c r="L31" s="697">
        <v>0</v>
      </c>
      <c r="M31" s="697">
        <v>0</v>
      </c>
      <c r="N31" s="698">
        <f>SUM(B31:M31)</f>
        <v>0</v>
      </c>
      <c r="O31" s="699"/>
      <c r="P31" s="699"/>
      <c r="Q31" s="699"/>
      <c r="R31" s="699"/>
      <c r="S31" s="700"/>
    </row>
    <row r="32" spans="1:19" ht="15" customHeight="1" thickBot="1">
      <c r="A32" s="322" t="s">
        <v>343</v>
      </c>
      <c r="B32" s="701">
        <f t="shared" ref="B32:M32" si="4">B13+B20+B24+B29+B31</f>
        <v>0</v>
      </c>
      <c r="C32" s="701">
        <f t="shared" si="4"/>
        <v>0</v>
      </c>
      <c r="D32" s="701">
        <f t="shared" si="4"/>
        <v>0</v>
      </c>
      <c r="E32" s="701">
        <f t="shared" si="4"/>
        <v>0</v>
      </c>
      <c r="F32" s="701">
        <f t="shared" si="4"/>
        <v>0</v>
      </c>
      <c r="G32" s="701">
        <f t="shared" si="4"/>
        <v>0</v>
      </c>
      <c r="H32" s="701">
        <f t="shared" si="4"/>
        <v>10.292</v>
      </c>
      <c r="I32" s="701">
        <f t="shared" si="4"/>
        <v>0</v>
      </c>
      <c r="J32" s="701">
        <f t="shared" si="4"/>
        <v>0</v>
      </c>
      <c r="K32" s="701">
        <f t="shared" si="4"/>
        <v>0</v>
      </c>
      <c r="L32" s="701">
        <f t="shared" si="4"/>
        <v>0</v>
      </c>
      <c r="M32" s="701">
        <f t="shared" si="4"/>
        <v>0</v>
      </c>
      <c r="N32" s="702">
        <f>SUM(B32:M32)</f>
        <v>10.292</v>
      </c>
      <c r="O32" s="699"/>
      <c r="P32" s="699"/>
      <c r="Q32" s="699"/>
      <c r="R32" s="699"/>
      <c r="S32" s="700"/>
    </row>
    <row r="33" spans="1:15" s="681" customFormat="1" ht="26.25" customHeight="1" thickBot="1">
      <c r="A33" s="530" t="s">
        <v>344</v>
      </c>
      <c r="B33" s="703">
        <f>B32</f>
        <v>0</v>
      </c>
      <c r="C33" s="704">
        <f>C32</f>
        <v>0</v>
      </c>
      <c r="D33" s="704">
        <f>D32+0.018</f>
        <v>1.7999999999999999E-2</v>
      </c>
      <c r="E33" s="704">
        <f>E32+0.025</f>
        <v>2.5000000000000001E-2</v>
      </c>
      <c r="F33" s="704">
        <f>F32+0.025</f>
        <v>2.5000000000000001E-2</v>
      </c>
      <c r="G33" s="704">
        <f>G32+0.029</f>
        <v>2.9000000000000001E-2</v>
      </c>
      <c r="H33" s="704">
        <f>H32+0.038</f>
        <v>10.33</v>
      </c>
      <c r="I33" s="704">
        <v>0</v>
      </c>
      <c r="J33" s="704">
        <v>0</v>
      </c>
      <c r="K33" s="704">
        <v>0</v>
      </c>
      <c r="L33" s="704">
        <v>0</v>
      </c>
      <c r="M33" s="704">
        <v>0</v>
      </c>
      <c r="N33" s="705">
        <f>SUM(B33:M33)</f>
        <v>10.427</v>
      </c>
      <c r="O33" s="706"/>
    </row>
    <row r="34" spans="1:15" ht="13">
      <c r="A34" s="36"/>
      <c r="B34" s="37"/>
      <c r="C34" s="37"/>
      <c r="D34" s="37"/>
      <c r="E34" s="37"/>
      <c r="F34" s="37"/>
      <c r="G34" s="37"/>
      <c r="H34" s="37"/>
      <c r="I34" s="37"/>
      <c r="J34" s="37"/>
      <c r="K34" s="37"/>
      <c r="L34" s="37"/>
      <c r="M34" s="37"/>
      <c r="N34" s="37"/>
    </row>
    <row r="35" spans="1:15" ht="14">
      <c r="A35" s="416" t="s">
        <v>63</v>
      </c>
      <c r="B35" s="707"/>
      <c r="C35" s="707"/>
      <c r="D35" s="707"/>
      <c r="E35" s="707"/>
      <c r="F35" s="707"/>
      <c r="G35" s="707"/>
      <c r="H35" s="707"/>
      <c r="I35" s="707"/>
      <c r="J35" s="707"/>
      <c r="K35" s="707"/>
      <c r="L35" s="707"/>
      <c r="M35" s="707"/>
      <c r="N35" s="707"/>
    </row>
    <row r="36" spans="1:15" ht="14">
      <c r="A36" s="524" t="s">
        <v>362</v>
      </c>
      <c r="B36" s="525"/>
      <c r="C36" s="525"/>
      <c r="D36" s="525"/>
      <c r="E36" s="525"/>
      <c r="F36" s="525"/>
      <c r="G36" s="525"/>
      <c r="H36" s="525"/>
      <c r="I36" s="525"/>
      <c r="J36" s="525"/>
      <c r="K36" s="525"/>
      <c r="L36" s="525"/>
      <c r="M36" s="525"/>
      <c r="N36" s="525"/>
    </row>
    <row r="37" spans="1:15" ht="15" customHeight="1">
      <c r="A37" s="752"/>
      <c r="B37" s="752"/>
      <c r="C37" s="752"/>
      <c r="D37" s="752"/>
      <c r="E37" s="752"/>
      <c r="F37" s="752"/>
      <c r="G37" s="752"/>
      <c r="H37" s="752"/>
      <c r="I37" s="752"/>
      <c r="J37" s="752"/>
      <c r="K37" s="752"/>
      <c r="L37" s="752"/>
      <c r="M37" s="752"/>
      <c r="N37" s="752"/>
    </row>
    <row r="38" spans="1:15" ht="15" customHeight="1">
      <c r="A38" s="526"/>
      <c r="B38" s="679"/>
      <c r="C38" s="679"/>
      <c r="D38" s="679"/>
      <c r="E38" s="679"/>
      <c r="F38" s="679"/>
      <c r="G38" s="679"/>
      <c r="H38" s="679"/>
      <c r="I38" s="679"/>
      <c r="J38" s="679"/>
      <c r="K38" s="679"/>
      <c r="L38" s="679"/>
      <c r="M38" s="679"/>
      <c r="N38" s="679"/>
    </row>
    <row r="39" spans="1:15" ht="15" customHeight="1">
      <c r="A39" s="708"/>
      <c r="B39" s="679"/>
      <c r="C39" s="679"/>
      <c r="D39" s="679"/>
      <c r="E39" s="679"/>
      <c r="F39" s="679"/>
      <c r="G39" s="679"/>
      <c r="H39" s="679"/>
      <c r="I39" s="679"/>
      <c r="J39" s="679"/>
      <c r="K39" s="679"/>
      <c r="L39" s="679"/>
      <c r="M39" s="679"/>
      <c r="N39" s="679"/>
    </row>
    <row r="40" spans="1:15" ht="15" customHeight="1">
      <c r="A40" s="709"/>
      <c r="B40" s="495"/>
      <c r="C40" s="495"/>
      <c r="D40" s="495"/>
      <c r="E40" s="495"/>
      <c r="F40" s="495"/>
      <c r="G40" s="495"/>
      <c r="H40" s="495"/>
      <c r="I40" s="495"/>
      <c r="J40" s="495"/>
      <c r="K40" s="495"/>
      <c r="L40" s="495"/>
      <c r="M40" s="495"/>
      <c r="N40" s="495"/>
    </row>
    <row r="41" spans="1:15" ht="14.5">
      <c r="A41" s="235" t="s">
        <v>64</v>
      </c>
      <c r="E41" s="123"/>
    </row>
    <row r="42" spans="1:15">
      <c r="H42" s="688"/>
    </row>
  </sheetData>
  <mergeCells count="1">
    <mergeCell ref="A37:N37"/>
  </mergeCells>
  <printOptions horizontalCentered="1"/>
  <pageMargins left="0" right="0" top="0.55000000000000004" bottom="0.17" header="0.3" footer="0.15"/>
  <pageSetup paperSize="5" scale="85" orientation="landscape" cellComments="atEnd" r:id="rId1"/>
  <headerFooter alignWithMargins="0">
    <oddHeader xml:space="preserve">&amp;C&amp;"Arial,Bold"
</oddHeader>
    <oddFooter>&amp;Rpage 11 of 11
&amp;A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60"/>
  <sheetViews>
    <sheetView showGridLines="0" showRuler="0" zoomScaleNormal="100" zoomScaleSheetLayoutView="80" workbookViewId="0">
      <selection activeCell="A29" sqref="A28:A29"/>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8" t="s">
        <v>39</v>
      </c>
    </row>
    <row r="2" spans="1:31" ht="13">
      <c r="H2" s="148" t="s">
        <v>40</v>
      </c>
      <c r="Q2" s="12"/>
      <c r="R2" s="86"/>
    </row>
    <row r="3" spans="1:31" ht="13">
      <c r="C3" s="152"/>
      <c r="E3" s="152"/>
      <c r="G3" s="152"/>
      <c r="H3" s="151" t="s">
        <v>336</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22" t="s">
        <v>41</v>
      </c>
      <c r="D6" s="89"/>
      <c r="E6" s="89"/>
      <c r="F6" s="89" t="s">
        <v>42</v>
      </c>
      <c r="G6" s="89"/>
      <c r="H6" s="89"/>
      <c r="I6" s="89" t="s">
        <v>43</v>
      </c>
      <c r="J6" s="89"/>
      <c r="K6" s="89"/>
      <c r="L6" s="89" t="s">
        <v>44</v>
      </c>
      <c r="M6" s="89"/>
      <c r="N6" s="89"/>
      <c r="O6" s="89" t="s">
        <v>31</v>
      </c>
      <c r="P6" s="89"/>
      <c r="Q6" s="89"/>
      <c r="R6" s="89" t="s">
        <v>45</v>
      </c>
      <c r="S6" s="89"/>
      <c r="T6" s="175"/>
    </row>
    <row r="7" spans="1:31" ht="42.5">
      <c r="A7" s="176" t="s">
        <v>46</v>
      </c>
      <c r="B7" s="195" t="s">
        <v>47</v>
      </c>
      <c r="C7" s="178" t="s">
        <v>48</v>
      </c>
      <c r="D7" s="168" t="s">
        <v>49</v>
      </c>
      <c r="E7" s="177" t="s">
        <v>47</v>
      </c>
      <c r="F7" s="178" t="s">
        <v>48</v>
      </c>
      <c r="G7" s="168" t="s">
        <v>49</v>
      </c>
      <c r="H7" s="177" t="s">
        <v>47</v>
      </c>
      <c r="I7" s="178" t="s">
        <v>48</v>
      </c>
      <c r="J7" s="168" t="s">
        <v>49</v>
      </c>
      <c r="K7" s="177" t="s">
        <v>47</v>
      </c>
      <c r="L7" s="178" t="s">
        <v>48</v>
      </c>
      <c r="M7" s="168" t="s">
        <v>49</v>
      </c>
      <c r="N7" s="177" t="s">
        <v>47</v>
      </c>
      <c r="O7" s="178" t="s">
        <v>48</v>
      </c>
      <c r="P7" s="168" t="s">
        <v>49</v>
      </c>
      <c r="Q7" s="177" t="s">
        <v>47</v>
      </c>
      <c r="R7" s="178" t="s">
        <v>48</v>
      </c>
      <c r="S7" s="168" t="s">
        <v>49</v>
      </c>
      <c r="T7" s="168" t="s">
        <v>50</v>
      </c>
    </row>
    <row r="8" spans="1:31" ht="13">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0">
        <f>B9*(INDEX('Ex ante LI &amp; Eligibility Stats'!$A:$M,MATCH('Program MW '!$A9,'Ex ante LI &amp; Eligibility Stats'!$A:$A,0),MATCH('Program MW '!C$6,'Ex ante LI &amp; Eligibility Stats'!$A$8:$M$8,0))/1000)</f>
        <v>0.591757080078125</v>
      </c>
      <c r="D9" s="326">
        <f>B9*(INDEX('Ex post LI &amp; Eligibility Stats'!$A:$N,MATCH($A9,'Ex post LI &amp; Eligibility Stats'!$A:$A,0),MATCH('Program MW '!C$6,'Ex post LI &amp; Eligibility Stats'!$A$8:$N$8,0))/1000)</f>
        <v>0.42431999999999997</v>
      </c>
      <c r="E9" s="14">
        <v>4</v>
      </c>
      <c r="F9" s="326">
        <f>E9*(INDEX('Ex ante LI &amp; Eligibility Stats'!$A:$M,MATCH('Program MW '!$A9,'Ex ante LI &amp; Eligibility Stats'!$A:$A,0),MATCH('Program MW '!F$6,'Ex ante LI &amp; Eligibility Stats'!$A$8:$M$8,0))/1000)</f>
        <v>0.49343344116210935</v>
      </c>
      <c r="G9" s="326">
        <f>E9*(INDEX('Ex post LI &amp; Eligibility Stats'!$A:$N,MATCH($A9,'Ex post LI &amp; Eligibility Stats'!$A:$A,0),MATCH('Program MW '!F$6,'Ex post LI &amp; Eligibility Stats'!$A$8:$N$8,0))/1000)</f>
        <v>0.42431999999999997</v>
      </c>
      <c r="H9" s="14">
        <v>4</v>
      </c>
      <c r="I9" s="326">
        <f>H9*(INDEX('Ex ante LI &amp; Eligibility Stats'!$A:$M,MATCH('Program MW '!$A9,'Ex ante LI &amp; Eligibility Stats'!$A:$A,0),MATCH('Program MW '!I$6,'Ex ante LI &amp; Eligibility Stats'!$A$8:$M$8,0))/1000)</f>
        <v>0.61670471191406251</v>
      </c>
      <c r="J9" s="326">
        <f>H9*(INDEX('Ex post LI &amp; Eligibility Stats'!$A:$N,MATCH($A9,'Ex post LI &amp; Eligibility Stats'!$A:$A,0),MATCH('Program MW '!I$6,'Ex post LI &amp; Eligibility Stats'!$A$8:$N$8,0))/1000)</f>
        <v>0.42399999999999999</v>
      </c>
      <c r="K9" s="14">
        <v>2</v>
      </c>
      <c r="L9" s="326">
        <f>K9*(INDEX('Ex ante LI &amp; Eligibility Stats'!$A:$M,MATCH('Program MW '!$A9,'Ex ante LI &amp; Eligibility Stats'!$A:$A,0),MATCH('Program MW '!L$6,'Ex ante LI &amp; Eligibility Stats'!$A$8:$M$8,0))/1000)</f>
        <v>0.28272567749023436</v>
      </c>
      <c r="M9" s="326">
        <f>K9*(INDEX('Ex post LI &amp; Eligibility Stats'!$A:$N,MATCH($A9,'Ex post LI &amp; Eligibility Stats'!$A:$A,0),MATCH('Program MW '!L$6,'Ex post LI &amp; Eligibility Stats'!$A$8:$N$8,0))/1000)</f>
        <v>0.21199999999999999</v>
      </c>
      <c r="N9" s="14">
        <v>2</v>
      </c>
      <c r="O9" s="326">
        <f>N9*(INDEX('Ex ante LI &amp; Eligibility Stats'!$A:$M,MATCH('Program MW '!$A9,'Ex ante LI &amp; Eligibility Stats'!$A:$A,0),MATCH('Program MW '!O$6,'Ex ante LI &amp; Eligibility Stats'!$A$8:$M$8,0))/1000)</f>
        <v>0.27460052490234377</v>
      </c>
      <c r="P9" s="326">
        <f>N9*(INDEX('Ex post LI &amp; Eligibility Stats'!$A:$N,MATCH($A9,'Ex post LI &amp; Eligibility Stats'!$A:$A,0),MATCH('Program MW '!O$6,'Ex post LI &amp; Eligibility Stats'!$A$8:$N$8,0))/1000)</f>
        <v>0.21199999999999999</v>
      </c>
      <c r="Q9" s="124">
        <v>1</v>
      </c>
      <c r="R9" s="326">
        <f>Q9*(INDEX('Ex ante LI &amp; Eligibility Stats'!$A:$M,MATCH('Program MW '!$A9,'Ex ante LI &amp; Eligibility Stats'!$A:$A,0),MATCH('Program MW '!R$6,'Ex ante LI &amp; Eligibility Stats'!$A$8:$M$8,0))/1000)</f>
        <v>0.16708448791503908</v>
      </c>
      <c r="S9" s="326">
        <f>Q9*(INDEX('Ex post LI &amp; Eligibility Stats'!$A:$N,MATCH($A9,'Ex post LI &amp; Eligibility Stats'!$A:$A,0),MATCH('Program MW '!R$6,'Ex post LI &amp; Eligibility Stats'!$A$8:$N$8,0))/1000)</f>
        <v>0.106</v>
      </c>
      <c r="T9" s="4">
        <v>5276</v>
      </c>
    </row>
    <row r="10" spans="1:31" ht="13.5" thickBot="1">
      <c r="A10" s="184" t="s">
        <v>52</v>
      </c>
      <c r="B10" s="154">
        <f t="shared" ref="B10:Q10" si="0">SUM(B9:B9)</f>
        <v>4</v>
      </c>
      <c r="C10" s="170">
        <f t="shared" si="0"/>
        <v>0.591757080078125</v>
      </c>
      <c r="D10" s="170">
        <f t="shared" si="0"/>
        <v>0.42431999999999997</v>
      </c>
      <c r="E10" s="1">
        <f t="shared" si="0"/>
        <v>4</v>
      </c>
      <c r="F10" s="226">
        <f t="shared" si="0"/>
        <v>0.49343344116210935</v>
      </c>
      <c r="G10" s="226">
        <f t="shared" si="0"/>
        <v>0.42431999999999997</v>
      </c>
      <c r="H10" s="1">
        <f t="shared" si="0"/>
        <v>4</v>
      </c>
      <c r="I10" s="226">
        <f t="shared" si="0"/>
        <v>0.61670471191406251</v>
      </c>
      <c r="J10" s="226">
        <f t="shared" si="0"/>
        <v>0.42399999999999999</v>
      </c>
      <c r="K10" s="1">
        <f>SUM(K9)</f>
        <v>2</v>
      </c>
      <c r="L10" s="226">
        <f t="shared" ref="L10:M10" si="1">SUM(L9:L9)</f>
        <v>0.28272567749023436</v>
      </c>
      <c r="M10" s="226">
        <f t="shared" si="1"/>
        <v>0.21199999999999999</v>
      </c>
      <c r="N10" s="1">
        <f t="shared" si="0"/>
        <v>2</v>
      </c>
      <c r="O10" s="226">
        <f t="shared" si="0"/>
        <v>0.27460052490234377</v>
      </c>
      <c r="P10" s="226">
        <f t="shared" si="0"/>
        <v>0.21199999999999999</v>
      </c>
      <c r="Q10" s="125">
        <f t="shared" si="0"/>
        <v>1</v>
      </c>
      <c r="R10" s="226">
        <f t="shared" ref="R10:S10" si="2">SUM(R9:R9)</f>
        <v>0.16708448791503908</v>
      </c>
      <c r="S10" s="226">
        <f t="shared" si="2"/>
        <v>0.106</v>
      </c>
      <c r="T10" s="5"/>
    </row>
    <row r="11" spans="1:31" ht="13.5" thickTop="1">
      <c r="A11" s="162" t="s">
        <v>53</v>
      </c>
      <c r="B11" s="171"/>
      <c r="C11" s="169"/>
      <c r="D11" s="172"/>
      <c r="E11" s="185"/>
      <c r="F11" s="186"/>
      <c r="G11" s="187"/>
      <c r="H11" s="185"/>
      <c r="I11" s="188"/>
      <c r="J11" s="187"/>
      <c r="K11" s="185"/>
      <c r="L11" s="188"/>
      <c r="M11" s="187"/>
      <c r="N11" s="185"/>
      <c r="O11" s="331"/>
      <c r="P11" s="332"/>
      <c r="Q11" s="189"/>
      <c r="R11" s="188"/>
      <c r="S11" s="190"/>
      <c r="T11" s="183"/>
      <c r="Y11" s="6"/>
      <c r="Z11" s="6"/>
      <c r="AA11" s="6"/>
      <c r="AB11" s="6"/>
      <c r="AC11" s="6"/>
      <c r="AD11" s="6"/>
      <c r="AE11" s="6"/>
    </row>
    <row r="12" spans="1:31">
      <c r="A12" s="42" t="s">
        <v>11</v>
      </c>
      <c r="B12" s="158">
        <v>14093</v>
      </c>
      <c r="C12" s="326">
        <f>B12*(INDEX('Ex ante LI &amp; Eligibility Stats'!$A:$M,MATCH($A12,'Ex ante LI &amp; Eligibility Stats'!$A:$A,0),MATCH('Program MW '!C$6,'Ex ante LI &amp; Eligibility Stats'!$A$8:$M$8,0))/1000)</f>
        <v>1.9730200000000002</v>
      </c>
      <c r="D12" s="325">
        <f>B12*(INDEX('Ex post LI &amp; Eligibility Stats'!$A:$N,MATCH($A12,'Ex post LI &amp; Eligibility Stats'!$A:$A,0),MATCH('Program MW '!C$6,'Ex post LI &amp; Eligibility Stats'!$A$8:$N$8,0))/1000)</f>
        <v>5.6372</v>
      </c>
      <c r="E12" s="158">
        <v>14068</v>
      </c>
      <c r="F12" s="324">
        <f>E12*(INDEX('Ex ante LI &amp; Eligibility Stats'!$A:$M,MATCH($A12,'Ex ante LI &amp; Eligibility Stats'!$A:$A,0),MATCH('Program MW '!F$6,'Ex ante LI &amp; Eligibility Stats'!$A$8:$M$8,0))/1000)</f>
        <v>1.9695200000000002</v>
      </c>
      <c r="G12" s="325">
        <f>E12*(INDEX('Ex post LI &amp; Eligibility Stats'!$A:$N,MATCH($A12,'Ex post LI &amp; Eligibility Stats'!$A:$A,0),MATCH('Program MW '!F$6,'Ex post LI &amp; Eligibility Stats'!$A$8:$N$8,0))/1000)</f>
        <v>5.6272000000000002</v>
      </c>
      <c r="H12" s="158">
        <v>13616</v>
      </c>
      <c r="I12" s="326">
        <f>H12*(INDEX('Ex ante LI &amp; Eligibility Stats'!$A:$M,MATCH('Program MW '!$A12,'Ex ante LI &amp; Eligibility Stats'!$A:$A,0),MATCH('Program MW '!I$6,'Ex ante LI &amp; Eligibility Stats'!$A$8:$M$8,0))/1000)</f>
        <v>0</v>
      </c>
      <c r="J12" s="325">
        <f>H12*(INDEX('Ex post LI &amp; Eligibility Stats'!$A:$N,MATCH($A12,'Ex post LI &amp; Eligibility Stats'!$A:$A,0),MATCH('Program MW '!I$6,'Ex post LI &amp; Eligibility Stats'!$A$8:$N$8,0))/1000)</f>
        <v>6.552116814289886</v>
      </c>
      <c r="K12" s="158">
        <v>14076</v>
      </c>
      <c r="L12" s="326">
        <f>K12*(INDEX('Ex ante LI &amp; Eligibility Stats'!$A:$M,MATCH('Program MW '!$A12,'Ex ante LI &amp; Eligibility Stats'!$A:$A,0),MATCH('Program MW '!L$6,'Ex ante LI &amp; Eligibility Stats'!$A$8:$M$8,0))/1000)</f>
        <v>0</v>
      </c>
      <c r="M12" s="325">
        <f>K12*(INDEX('Ex post LI &amp; Eligibility Stats'!$A:$N,MATCH($A12,'Ex post LI &amp; Eligibility Stats'!$A:$A,0),MATCH('Program MW '!L$6,'Ex post LI &amp; Eligibility Stats'!$A$8:$N$8,0))/1000)</f>
        <v>6.7734721120699497</v>
      </c>
      <c r="N12" s="158">
        <v>13310</v>
      </c>
      <c r="O12" s="326">
        <f>N12*(INDEX('Ex ante LI &amp; Eligibility Stats'!$A:$M,MATCH('Program MW '!$A12,'Ex ante LI &amp; Eligibility Stats'!$A:$A,0),MATCH('Program MW '!O$6,'Ex ante LI &amp; Eligibility Stats'!$A$8:$M$8,0))/1000)</f>
        <v>0</v>
      </c>
      <c r="P12" s="325">
        <f>N12*(INDEX('Ex post LI &amp; Eligibility Stats'!$A:$N,MATCH($A12,'Ex post LI &amp; Eligibility Stats'!$A:$A,0),MATCH('Program MW '!O$6,'Ex post LI &amp; Eligibility Stats'!$A$8:$N$8,0))/1000)</f>
        <v>6.4048674205492349</v>
      </c>
      <c r="Q12" s="158">
        <v>7017</v>
      </c>
      <c r="R12" s="326">
        <f>Q12*(INDEX('Ex ante LI &amp; Eligibility Stats'!$A:$M,MATCH('Program MW '!$A12,'Ex ante LI &amp; Eligibility Stats'!$A:$A,0),MATCH('Program MW '!R$6,'Ex ante LI &amp; Eligibility Stats'!$A$8:$M$8,0))/1000)</f>
        <v>0</v>
      </c>
      <c r="S12" s="325">
        <f>Q12*(INDEX('Ex post LI &amp; Eligibility Stats'!$A:$N,MATCH($A12,'Ex post LI &amp; Eligibility Stats'!$A:$A,0),MATCH('Program MW '!R$6,'Ex post LI &amp; Eligibility Stats'!$A$8:$N$8,0))/1000)</f>
        <v>3.3766307054841458</v>
      </c>
      <c r="T12" s="7">
        <v>138123</v>
      </c>
      <c r="U12" s="6"/>
      <c r="V12" s="6"/>
      <c r="W12" s="6"/>
      <c r="X12" s="6"/>
      <c r="Y12" s="6"/>
      <c r="Z12" s="6"/>
      <c r="AA12" s="6"/>
      <c r="AB12" s="6"/>
      <c r="AC12" s="6"/>
      <c r="AD12" s="6"/>
      <c r="AE12" s="6"/>
    </row>
    <row r="13" spans="1:31" ht="13.5">
      <c r="A13" s="205" t="s">
        <v>54</v>
      </c>
      <c r="B13" s="206">
        <v>0</v>
      </c>
      <c r="C13" s="326">
        <v>0</v>
      </c>
      <c r="D13" s="327">
        <v>0</v>
      </c>
      <c r="E13" s="206">
        <v>0</v>
      </c>
      <c r="F13" s="326">
        <v>0</v>
      </c>
      <c r="G13" s="327">
        <v>0</v>
      </c>
      <c r="H13" s="206">
        <v>0</v>
      </c>
      <c r="I13" s="326">
        <v>0</v>
      </c>
      <c r="J13" s="327">
        <v>0</v>
      </c>
      <c r="K13" s="206">
        <v>0</v>
      </c>
      <c r="L13" s="326">
        <v>0</v>
      </c>
      <c r="M13" s="327">
        <v>0</v>
      </c>
      <c r="N13" s="206">
        <v>0</v>
      </c>
      <c r="O13" s="326">
        <v>0</v>
      </c>
      <c r="P13" s="327">
        <v>0</v>
      </c>
      <c r="Q13" s="206">
        <v>0</v>
      </c>
      <c r="R13" s="326">
        <v>0</v>
      </c>
      <c r="S13" s="327">
        <v>0</v>
      </c>
      <c r="T13" s="4"/>
      <c r="U13" s="6"/>
      <c r="V13" s="6"/>
      <c r="W13" s="6"/>
      <c r="X13" s="6"/>
      <c r="Y13" s="6"/>
      <c r="Z13" s="6"/>
      <c r="AA13" s="6"/>
      <c r="AB13" s="6"/>
      <c r="AC13" s="6"/>
      <c r="AD13" s="6"/>
      <c r="AE13" s="6"/>
    </row>
    <row r="14" spans="1:31">
      <c r="A14" s="270" t="s">
        <v>17</v>
      </c>
      <c r="B14" s="159">
        <v>17376</v>
      </c>
      <c r="C14" s="326">
        <f>B14*(INDEX('Ex ante LI &amp; Eligibility Stats'!$A:$M,MATCH($A14,'Ex ante LI &amp; Eligibility Stats'!$A:$A,0),MATCH('Program MW '!C$6,'Ex ante LI &amp; Eligibility Stats'!$A$8:$M$8,0))/1000)</f>
        <v>1.9547919699107298E-4</v>
      </c>
      <c r="D14" s="327">
        <f>B14*(INDEX('Ex post LI &amp; Eligibility Stats'!$A:$N,MATCH($A14,'Ex post LI &amp; Eligibility Stats'!$A:$A,0),MATCH('Program MW '!C$6,'Ex post LI &amp; Eligibility Stats'!$A$8:$N$8,0))/1000)</f>
        <v>5.5603200000000008</v>
      </c>
      <c r="E14" s="159">
        <v>17278</v>
      </c>
      <c r="F14" s="326">
        <f>E14*(INDEX('Ex ante LI &amp; Eligibility Stats'!$A:$M,MATCH($A14,'Ex ante LI &amp; Eligibility Stats'!$A:$A,0),MATCH('Program MW '!F$6,'Ex ante LI &amp; Eligibility Stats'!$A$8:$M$8,0))/1000)</f>
        <v>4.5015298280304707E-5</v>
      </c>
      <c r="G14" s="327">
        <f>E14*(INDEX('Ex post LI &amp; Eligibility Stats'!$A:$N,MATCH($A14,'Ex post LI &amp; Eligibility Stats'!$A:$A,0),MATCH('Program MW '!F$6,'Ex post LI &amp; Eligibility Stats'!$A$8:$N$8,0))/1000)</f>
        <v>5.5289600000000005</v>
      </c>
      <c r="H14" s="159">
        <v>17050</v>
      </c>
      <c r="I14" s="326">
        <f>H14*(INDEX('Ex ante LI &amp; Eligibility Stats'!$A:$M,MATCH('Program MW '!$A14,'Ex ante LI &amp; Eligibility Stats'!$A:$A,0),MATCH('Program MW '!I$6,'Ex ante LI &amp; Eligibility Stats'!$A$8:$M$8,0))/1000)</f>
        <v>0</v>
      </c>
      <c r="J14" s="327">
        <f>H14*(INDEX('Ex post LI &amp; Eligibility Stats'!$A:$N,MATCH($A14,'Ex post LI &amp; Eligibility Stats'!$A:$A,0),MATCH('Program MW '!I$6,'Ex post LI &amp; Eligibility Stats'!$A$8:$N$8,0))/1000)</f>
        <v>5.1198614791035659</v>
      </c>
      <c r="K14" s="159">
        <v>17283</v>
      </c>
      <c r="L14" s="326">
        <f>K14*(INDEX('Ex ante LI &amp; Eligibility Stats'!$A:$M,MATCH('Program MW '!$A14,'Ex ante LI &amp; Eligibility Stats'!$A:$A,0),MATCH('Program MW '!L$6,'Ex ante LI &amp; Eligibility Stats'!$A$8:$M$8,0))/1000)</f>
        <v>0.63219965072348705</v>
      </c>
      <c r="M14" s="327">
        <f>K14*(INDEX('Ex post LI &amp; Eligibility Stats'!$A:$N,MATCH($A14,'Ex post LI &amp; Eligibility Stats'!$A:$A,0),MATCH('Program MW '!L$6,'Ex post LI &amp; Eligibility Stats'!$A$8:$N$8,0))/1000)</f>
        <v>5.1898279145658019</v>
      </c>
      <c r="N14" s="159">
        <v>17130</v>
      </c>
      <c r="O14" s="326">
        <f>N14*(INDEX('Ex ante LI &amp; Eligibility Stats'!$A:$M,MATCH('Program MW '!$A14,'Ex ante LI &amp; Eligibility Stats'!$A:$A,0),MATCH('Program MW '!O$6,'Ex ante LI &amp; Eligibility Stats'!$A$8:$M$8,0))/1000)</f>
        <v>1.3920932315289973</v>
      </c>
      <c r="P14" s="327">
        <f>N14*(INDEX('Ex post LI &amp; Eligibility Stats'!$A:$N,MATCH($A14,'Ex post LI &amp; Eligibility Stats'!$A:$A,0),MATCH('Program MW '!O$6,'Ex post LI &amp; Eligibility Stats'!$A$8:$N$8,0))/1000)</f>
        <v>5.1438842895627026</v>
      </c>
      <c r="Q14" s="159">
        <v>14623</v>
      </c>
      <c r="R14" s="326">
        <f>Q14*(INDEX('Ex ante LI &amp; Eligibility Stats'!$A:$M,MATCH('Program MW '!$A14,'Ex ante LI &amp; Eligibility Stats'!$A:$A,0),MATCH('Program MW '!R$6,'Ex ante LI &amp; Eligibility Stats'!$A$8:$M$8,0))/1000)</f>
        <v>0.75110183168202638</v>
      </c>
      <c r="S14" s="327">
        <f>Q14*(INDEX('Ex post LI &amp; Eligibility Stats'!$A:$N,MATCH($A14,'Ex post LI &amp; Eligibility Stats'!$A:$A,0),MATCH('Program MW '!R$6,'Ex post LI &amp; Eligibility Stats'!$A$8:$N$8,0))/1000)</f>
        <v>4.3910694667994976</v>
      </c>
      <c r="T14" s="4">
        <v>663393.5</v>
      </c>
      <c r="U14" s="6"/>
      <c r="V14" s="6"/>
      <c r="W14" s="6"/>
      <c r="X14" s="6"/>
      <c r="Y14" s="6"/>
      <c r="Z14" s="6"/>
      <c r="AA14" s="6"/>
      <c r="AB14" s="6"/>
      <c r="AC14" s="6"/>
      <c r="AD14" s="6"/>
      <c r="AE14" s="6"/>
    </row>
    <row r="15" spans="1:31">
      <c r="A15" s="156" t="s">
        <v>20</v>
      </c>
      <c r="B15" s="159">
        <v>704</v>
      </c>
      <c r="C15" s="326">
        <f>B15*(INDEX('Ex ante LI &amp; Eligibility Stats'!$A:$M,MATCH($A15,'Ex ante LI &amp; Eligibility Stats'!$A:$A,0),MATCH('Program MW '!C$6,'Ex ante LI &amp; Eligibility Stats'!$A$8:$M$8,0))/1000)</f>
        <v>2.559620887041092E-4</v>
      </c>
      <c r="D15" s="327">
        <f>B15*(INDEX('Ex post LI &amp; Eligibility Stats'!$A:$N,MATCH($A15,'Ex post LI &amp; Eligibility Stats'!$A:$A,0),MATCH('Program MW '!C$6,'Ex post LI &amp; Eligibility Stats'!$A$8:$N$8,0))/1000)</f>
        <v>0.32384000000000002</v>
      </c>
      <c r="E15" s="159">
        <v>704</v>
      </c>
      <c r="F15" s="326">
        <f>E15*(INDEX('Ex ante LI &amp; Eligibility Stats'!$A:$M,MATCH($A15,'Ex ante LI &amp; Eligibility Stats'!$A:$A,0),MATCH('Program MW '!F$6,'Ex ante LI &amp; Eligibility Stats'!$A$8:$M$8,0))/1000)</f>
        <v>5.9277471620589494E-5</v>
      </c>
      <c r="G15" s="327">
        <f>E15*(INDEX('Ex post LI &amp; Eligibility Stats'!$A:$N,MATCH($A15,'Ex post LI &amp; Eligibility Stats'!$A:$A,0),MATCH('Program MW '!F$6,'Ex post LI &amp; Eligibility Stats'!$A$8:$N$8,0))/1000)</f>
        <v>0.32384000000000002</v>
      </c>
      <c r="H15" s="159">
        <v>268</v>
      </c>
      <c r="I15" s="326">
        <f>H15*(INDEX('Ex ante LI &amp; Eligibility Stats'!$A:$M,MATCH('Program MW '!$A15,'Ex ante LI &amp; Eligibility Stats'!$A:$A,0),MATCH('Program MW '!I$6,'Ex ante LI &amp; Eligibility Stats'!$A$8:$M$8,0))/1000)</f>
        <v>0</v>
      </c>
      <c r="J15" s="327">
        <f>H15*(INDEX('Ex post LI &amp; Eligibility Stats'!$A:$N,MATCH($A15,'Ex post LI &amp; Eligibility Stats'!$A:$A,0),MATCH('Program MW '!I$6,'Ex post LI &amp; Eligibility Stats'!$A$8:$N$8,0))/1000)</f>
        <v>0.12431036806106567</v>
      </c>
      <c r="K15" s="159">
        <v>268</v>
      </c>
      <c r="L15" s="326">
        <f>K15*(INDEX('Ex ante LI &amp; Eligibility Stats'!$A:$M,MATCH('Program MW '!$A15,'Ex ante LI &amp; Eligibility Stats'!$A:$A,0),MATCH('Program MW '!L$6,'Ex ante LI &amp; Eligibility Stats'!$A$8:$M$8,0))/1000)</f>
        <v>9.207833182811738E-2</v>
      </c>
      <c r="M15" s="327">
        <f>K15*(INDEX('Ex post LI &amp; Eligibility Stats'!$A:$N,MATCH($A15,'Ex post LI &amp; Eligibility Stats'!$A:$A,0),MATCH('Program MW '!L$6,'Ex post LI &amp; Eligibility Stats'!$A$8:$N$8,0))/1000)</f>
        <v>0.12431036806106567</v>
      </c>
      <c r="N15" s="159">
        <v>256</v>
      </c>
      <c r="O15" s="326">
        <f>N15*(INDEX('Ex ante LI &amp; Eligibility Stats'!$A:$M,MATCH('Program MW '!$A15,'Ex ante LI &amp; Eligibility Stats'!$A:$A,0),MATCH('Program MW '!O$6,'Ex ante LI &amp; Eligibility Stats'!$A$8:$M$8,0))/1000)</f>
        <v>0.23586849975585938</v>
      </c>
      <c r="P15" s="327">
        <f>N15*(INDEX('Ex post LI &amp; Eligibility Stats'!$A:$N,MATCH($A15,'Ex post LI &amp; Eligibility Stats'!$A:$A,0),MATCH('Program MW '!O$6,'Ex post LI &amp; Eligibility Stats'!$A$8:$N$8,0))/1000)</f>
        <v>0.11874423217773437</v>
      </c>
      <c r="Q15" s="159">
        <v>236</v>
      </c>
      <c r="R15" s="326">
        <f>Q15*(INDEX('Ex ante LI &amp; Eligibility Stats'!$A:$M,MATCH('Program MW '!$A15,'Ex ante LI &amp; Eligibility Stats'!$A:$A,0),MATCH('Program MW '!R$6,'Ex ante LI &amp; Eligibility Stats'!$A$8:$M$8,0))/1000)</f>
        <v>0.20210570478439333</v>
      </c>
      <c r="S15" s="327">
        <f>Q15*(INDEX('Ex post LI &amp; Eligibility Stats'!$A:$N,MATCH($A15,'Ex post LI &amp; Eligibility Stats'!$A:$A,0),MATCH('Program MW '!R$6,'Ex post LI &amp; Eligibility Stats'!$A$8:$N$8,0))/1000)</f>
        <v>0.10946733903884888</v>
      </c>
      <c r="T15" s="4"/>
      <c r="U15" s="6"/>
      <c r="V15" s="6"/>
      <c r="W15" s="6"/>
      <c r="X15" s="6"/>
      <c r="Y15" s="6"/>
      <c r="Z15" s="6"/>
      <c r="AA15" s="6"/>
      <c r="AB15" s="6"/>
      <c r="AC15" s="6"/>
      <c r="AD15" s="6"/>
      <c r="AE15" s="6"/>
    </row>
    <row r="16" spans="1:31">
      <c r="A16" s="270" t="s">
        <v>21</v>
      </c>
      <c r="B16" s="383">
        <v>10225</v>
      </c>
      <c r="C16" s="326">
        <f>B16*(INDEX('Ex ante LI &amp; Eligibility Stats'!$A:$M,MATCH($A16,'Ex ante LI &amp; Eligibility Stats'!$A:$A,0),MATCH('Program MW '!C$6,'Ex ante LI &amp; Eligibility Stats'!$A$8:$M$8,0))/1000)</f>
        <v>0</v>
      </c>
      <c r="D16" s="327">
        <f>B16*(INDEX('Ex post LI &amp; Eligibility Stats'!$A:$N,MATCH($A16,'Ex post LI &amp; Eligibility Stats'!$A:$A,0),MATCH('Program MW '!C$6,'Ex post LI &amp; Eligibility Stats'!$A$8:$N$8,0))/1000)</f>
        <v>1.3292500000000003</v>
      </c>
      <c r="E16" s="383">
        <v>10185</v>
      </c>
      <c r="F16" s="326">
        <f>E16*(INDEX('Ex ante LI &amp; Eligibility Stats'!$A:$M,MATCH($A16,'Ex ante LI &amp; Eligibility Stats'!$A:$A,0),MATCH('Program MW '!F$6,'Ex ante LI &amp; Eligibility Stats'!$A$8:$M$8,0))/1000)</f>
        <v>0</v>
      </c>
      <c r="G16" s="327">
        <f>E16*(INDEX('Ex post LI &amp; Eligibility Stats'!$A:$N,MATCH($A16,'Ex post LI &amp; Eligibility Stats'!$A:$A,0),MATCH('Program MW '!F$6,'Ex post LI &amp; Eligibility Stats'!$A$8:$N$8,0))/1000)</f>
        <v>1.3240500000000002</v>
      </c>
      <c r="H16" s="383">
        <v>10091</v>
      </c>
      <c r="I16" s="326">
        <f>H16*(INDEX('Ex ante LI &amp; Eligibility Stats'!$A:$M,MATCH('Program MW '!$A16,'Ex ante LI &amp; Eligibility Stats'!$A:$A,0),MATCH('Program MW '!I$6,'Ex ante LI &amp; Eligibility Stats'!$A$8:$M$8,0))/1000)</f>
        <v>0</v>
      </c>
      <c r="J16" s="327">
        <f>H16*(INDEX('Ex post LI &amp; Eligibility Stats'!$A:$N,MATCH($A16,'Ex post LI &amp; Eligibility Stats'!$A:$A,0),MATCH('Program MW '!I$6,'Ex post LI &amp; Eligibility Stats'!$A$8:$N$8,0))/1000)</f>
        <v>1.3535956399000002</v>
      </c>
      <c r="K16" s="626">
        <v>9815</v>
      </c>
      <c r="L16" s="326">
        <f>K16*(INDEX('Ex ante LI &amp; Eligibility Stats'!$A:$M,MATCH('Program MW '!$A16,'Ex ante LI &amp; Eligibility Stats'!$A:$A,0),MATCH('Program MW '!L$6,'Ex ante LI &amp; Eligibility Stats'!$A$8:$M$8,0))/1000)</f>
        <v>0.27112955999999999</v>
      </c>
      <c r="M16" s="327">
        <f>K16*(INDEX('Ex post LI &amp; Eligibility Stats'!$A:$N,MATCH($A16,'Ex post LI &amp; Eligibility Stats'!$A:$A,0),MATCH('Program MW '!L$6,'Ex post LI &amp; Eligibility Stats'!$A$8:$N$8,0))/1000)</f>
        <v>1.3165733035000002</v>
      </c>
      <c r="N16" s="383">
        <v>9593</v>
      </c>
      <c r="O16" s="326">
        <f>N16*(INDEX('Ex ante LI &amp; Eligibility Stats'!$A:$M,MATCH('Program MW '!$A16,'Ex ante LI &amp; Eligibility Stats'!$A:$A,0),MATCH('Program MW '!O$6,'Ex ante LI &amp; Eligibility Stats'!$A$8:$M$8,0))/1000)</f>
        <v>0.55346429780000006</v>
      </c>
      <c r="P16" s="327">
        <f>N16*(INDEX('Ex post LI &amp; Eligibility Stats'!$A:$N,MATCH($A16,'Ex post LI &amp; Eligibility Stats'!$A:$A,0),MATCH('Program MW '!O$6,'Ex post LI &amp; Eligibility Stats'!$A$8:$N$8,0))/1000)</f>
        <v>1.2867944677000003</v>
      </c>
      <c r="Q16" s="383">
        <v>9409</v>
      </c>
      <c r="R16" s="326">
        <f>Q16*(INDEX('Ex ante LI &amp; Eligibility Stats'!$A:$M,MATCH('Program MW '!$A16,'Ex ante LI &amp; Eligibility Stats'!$A:$A,0),MATCH('Program MW '!R$6,'Ex ante LI &amp; Eligibility Stats'!$A$8:$M$8,0))/1000)</f>
        <v>0.34679127659999998</v>
      </c>
      <c r="S16" s="327">
        <f>Q16*(INDEX('Ex post LI &amp; Eligibility Stats'!$A:$N,MATCH($A16,'Ex post LI &amp; Eligibility Stats'!$A:$A,0),MATCH('Program MW '!R$6,'Ex post LI &amp; Eligibility Stats'!$A$8:$N$8,0))/1000)</f>
        <v>1.2621129101000002</v>
      </c>
      <c r="T16" s="4">
        <v>157189</v>
      </c>
      <c r="U16" s="6"/>
      <c r="V16" s="6"/>
      <c r="W16" s="6"/>
      <c r="X16" s="6"/>
      <c r="Y16" s="6"/>
      <c r="Z16" s="6"/>
      <c r="AA16" s="6"/>
      <c r="AB16" s="6"/>
      <c r="AC16" s="6"/>
      <c r="AD16" s="6"/>
      <c r="AE16" s="6"/>
    </row>
    <row r="17" spans="1:31">
      <c r="A17" s="270" t="s">
        <v>23</v>
      </c>
      <c r="B17" s="383">
        <v>2652</v>
      </c>
      <c r="C17" s="326">
        <f>B17*(INDEX('Ex ante LI &amp; Eligibility Stats'!$A:$M,MATCH($A17,'Ex ante LI &amp; Eligibility Stats'!$A:$A,0),MATCH('Program MW '!C$6,'Ex ante LI &amp; Eligibility Stats'!$A$8:$M$8,0))/1000)</f>
        <v>0</v>
      </c>
      <c r="D17" s="327">
        <f>B17*(INDEX('Ex post LI &amp; Eligibility Stats'!$A:$N,MATCH($A17,'Ex post LI &amp; Eligibility Stats'!$A:$A,0),MATCH('Program MW '!C$6,'Ex post LI &amp; Eligibility Stats'!$A$8:$N$8,0))/1000)</f>
        <v>0.1326</v>
      </c>
      <c r="E17" s="383">
        <v>2648</v>
      </c>
      <c r="F17" s="326">
        <f>E17*(INDEX('Ex ante LI &amp; Eligibility Stats'!$A:$M,MATCH($A17,'Ex ante LI &amp; Eligibility Stats'!$A:$A,0),MATCH('Program MW '!F$6,'Ex ante LI &amp; Eligibility Stats'!$A$8:$M$8,0))/1000)</f>
        <v>0</v>
      </c>
      <c r="G17" s="327">
        <f>E17*(INDEX('Ex post LI &amp; Eligibility Stats'!$A:$N,MATCH($A17,'Ex post LI &amp; Eligibility Stats'!$A:$A,0),MATCH('Program MW '!F$6,'Ex post LI &amp; Eligibility Stats'!$A$8:$N$8,0))/1000)</f>
        <v>0.13240000000000002</v>
      </c>
      <c r="H17" s="383">
        <v>2627</v>
      </c>
      <c r="I17" s="326">
        <f>H17*(INDEX('Ex ante LI &amp; Eligibility Stats'!$A:$M,MATCH('Program MW '!$A17,'Ex ante LI &amp; Eligibility Stats'!$A:$A,0),MATCH('Program MW '!I$6,'Ex ante LI &amp; Eligibility Stats'!$A$8:$M$8,0))/1000)</f>
        <v>0</v>
      </c>
      <c r="J17" s="327">
        <f>H17*(INDEX('Ex post LI &amp; Eligibility Stats'!$A:$N,MATCH($A17,'Ex post LI &amp; Eligibility Stats'!$A:$A,0),MATCH('Program MW '!I$6,'Ex post LI &amp; Eligibility Stats'!$A$8:$N$8,0))/1000)</f>
        <v>0.1296274761</v>
      </c>
      <c r="K17" s="626">
        <v>2774</v>
      </c>
      <c r="L17" s="326">
        <f>K17*(INDEX('Ex ante LI &amp; Eligibility Stats'!$A:$M,MATCH('Program MW '!$A17,'Ex ante LI &amp; Eligibility Stats'!$A:$A,0),MATCH('Program MW '!L$6,'Ex ante LI &amp; Eligibility Stats'!$A$8:$M$8,0))/1000)</f>
        <v>0.15616732319999999</v>
      </c>
      <c r="M17" s="327">
        <f>K17*(INDEX('Ex post LI &amp; Eligibility Stats'!$A:$N,MATCH($A17,'Ex post LI &amp; Eligibility Stats'!$A:$A,0),MATCH('Program MW '!L$6,'Ex post LI &amp; Eligibility Stats'!$A$8:$N$8,0))/1000)</f>
        <v>0.1368810882</v>
      </c>
      <c r="N17" s="383">
        <v>2705</v>
      </c>
      <c r="O17" s="326">
        <f>N17*(INDEX('Ex ante LI &amp; Eligibility Stats'!$A:$M,MATCH('Program MW '!$A17,'Ex ante LI &amp; Eligibility Stats'!$A:$A,0),MATCH('Program MW '!O$6,'Ex ante LI &amp; Eligibility Stats'!$A$8:$M$8,0))/1000)</f>
        <v>0.1742817975</v>
      </c>
      <c r="P17" s="327">
        <f>N17*(INDEX('Ex post LI &amp; Eligibility Stats'!$A:$N,MATCH($A17,'Ex post LI &amp; Eligibility Stats'!$A:$A,0),MATCH('Program MW '!O$6,'Ex post LI &amp; Eligibility Stats'!$A$8:$N$8,0))/1000)</f>
        <v>0.13347633149999999</v>
      </c>
      <c r="Q17" s="383">
        <v>2244</v>
      </c>
      <c r="R17" s="326">
        <f>Q17*(INDEX('Ex ante LI &amp; Eligibility Stats'!$A:$M,MATCH('Program MW '!$A17,'Ex ante LI &amp; Eligibility Stats'!$A:$A,0),MATCH('Program MW '!R$6,'Ex ante LI &amp; Eligibility Stats'!$A$8:$M$8,0))/1000)</f>
        <v>0.1342089276</v>
      </c>
      <c r="S17" s="327">
        <f>Q17*(INDEX('Ex post LI &amp; Eligibility Stats'!$A:$N,MATCH($A17,'Ex post LI &amp; Eligibility Stats'!$A:$A,0),MATCH('Program MW '!R$6,'Ex post LI &amp; Eligibility Stats'!$A$8:$N$8,0))/1000)</f>
        <v>0.11072860920000001</v>
      </c>
      <c r="T17" s="4">
        <v>157189</v>
      </c>
      <c r="U17" s="6"/>
      <c r="V17" s="6"/>
      <c r="W17" s="6"/>
      <c r="X17" s="6"/>
      <c r="Y17" s="6"/>
      <c r="Z17" s="6"/>
      <c r="AA17" s="6"/>
      <c r="AB17" s="6"/>
      <c r="AC17" s="6"/>
      <c r="AD17" s="6"/>
      <c r="AE17" s="6"/>
    </row>
    <row r="18" spans="1:31">
      <c r="A18" s="156" t="s">
        <v>24</v>
      </c>
      <c r="B18" s="159">
        <v>0</v>
      </c>
      <c r="C18" s="326">
        <f>B18*(INDEX('Ex ante LI &amp; Eligibility Stats'!$A:$M,MATCH($A18,'Ex ante LI &amp; Eligibility Stats'!$A:$A,0),MATCH('Program MW '!C$6,'Ex ante LI &amp; Eligibility Stats'!$A$8:$M$8,0))/1000)</f>
        <v>0</v>
      </c>
      <c r="D18" s="327">
        <f>B18*(INDEX('Ex post LI &amp; Eligibility Stats'!$A:$N,MATCH($A18,'Ex post LI &amp; Eligibility Stats'!$A:$A,0),MATCH('Program MW '!C$6,'Ex post LI &amp; Eligibility Stats'!$A$8:$N$8,0))/1000)</f>
        <v>0</v>
      </c>
      <c r="E18" s="159">
        <v>0</v>
      </c>
      <c r="F18" s="326">
        <f>E18*(INDEX('Ex ante LI &amp; Eligibility Stats'!$A:$M,MATCH($A18,'Ex ante LI &amp; Eligibility Stats'!$A:$A,0),MATCH('Program MW '!F$6,'Ex ante LI &amp; Eligibility Stats'!$A$8:$M$8,0))/1000)</f>
        <v>0</v>
      </c>
      <c r="G18" s="327">
        <f>E18*(INDEX('Ex post LI &amp; Eligibility Stats'!$A:$N,MATCH($A18,'Ex post LI &amp; Eligibility Stats'!$A:$A,0),MATCH('Program MW '!F$6,'Ex post LI &amp; Eligibility Stats'!$A$8:$N$8,0))/1000)</f>
        <v>0</v>
      </c>
      <c r="H18" s="159">
        <v>0</v>
      </c>
      <c r="I18" s="326">
        <f>H18*(INDEX('Ex ante LI &amp; Eligibility Stats'!$A:$M,MATCH('Program MW '!$A18,'Ex ante LI &amp; Eligibility Stats'!$A:$A,0),MATCH('Program MW '!I$6,'Ex ante LI &amp; Eligibility Stats'!$A$8:$M$8,0))/1000)</f>
        <v>0</v>
      </c>
      <c r="J18" s="327">
        <f>H18*(INDEX('Ex post LI &amp; Eligibility Stats'!$A:$N,MATCH($A18,'Ex post LI &amp; Eligibility Stats'!$A:$A,0),MATCH('Program MW '!I$6,'Ex post LI &amp; Eligibility Stats'!$A$8:$N$8,0))/1000)</f>
        <v>0</v>
      </c>
      <c r="K18" s="159">
        <v>0</v>
      </c>
      <c r="L18" s="326">
        <f>K18*(INDEX('Ex ante LI &amp; Eligibility Stats'!$A:$M,MATCH('Program MW '!$A18,'Ex ante LI &amp; Eligibility Stats'!$A:$A,0),MATCH('Program MW '!L$6,'Ex ante LI &amp; Eligibility Stats'!$A$8:$M$8,0))/1000)</f>
        <v>0</v>
      </c>
      <c r="M18" s="327">
        <f>K18*(INDEX('Ex post LI &amp; Eligibility Stats'!$A:$N,MATCH($A18,'Ex post LI &amp; Eligibility Stats'!$A:$A,0),MATCH('Program MW '!L$6,'Ex post LI &amp; Eligibility Stats'!$A$8:$N$8,0))/1000)</f>
        <v>0</v>
      </c>
      <c r="N18" s="159">
        <v>41</v>
      </c>
      <c r="O18" s="326">
        <f>N18*(INDEX('Ex ante LI &amp; Eligibility Stats'!$A:$M,MATCH('Program MW '!$A18,'Ex ante LI &amp; Eligibility Stats'!$A:$A,0),MATCH('Program MW '!O$6,'Ex ante LI &amp; Eligibility Stats'!$A$8:$M$8,0))/1000)</f>
        <v>0.48483278999999996</v>
      </c>
      <c r="P18" s="327">
        <f>N18*(INDEX('Ex post LI &amp; Eligibility Stats'!$A:$N,MATCH($A18,'Ex post LI &amp; Eligibility Stats'!$A:$A,0),MATCH('Program MW '!O$6,'Ex post LI &amp; Eligibility Stats'!$A$8:$N$8,0))/1000)</f>
        <v>0.73608612000000007</v>
      </c>
      <c r="Q18" s="159">
        <v>49</v>
      </c>
      <c r="R18" s="326">
        <f>Q18*(INDEX('Ex ante LI &amp; Eligibility Stats'!$A:$M,MATCH('Program MW '!$A18,'Ex ante LI &amp; Eligibility Stats'!$A:$A,0),MATCH('Program MW '!R$6,'Ex ante LI &amp; Eligibility Stats'!$A$8:$M$8,0))/1000)</f>
        <v>0.57943431000000001</v>
      </c>
      <c r="S18" s="327">
        <f>Q18*(INDEX('Ex post LI &amp; Eligibility Stats'!$A:$N,MATCH($A18,'Ex post LI &amp; Eligibility Stats'!$A:$A,0),MATCH('Program MW '!R$6,'Ex post LI &amp; Eligibility Stats'!$A$8:$N$8,0))/1000)</f>
        <v>0.87971268000000014</v>
      </c>
      <c r="T18" s="4">
        <v>18875</v>
      </c>
      <c r="U18" s="6"/>
      <c r="V18" s="6"/>
      <c r="W18" s="6"/>
      <c r="X18" s="6"/>
      <c r="Y18" s="6"/>
      <c r="Z18" s="6"/>
      <c r="AA18" s="6"/>
      <c r="AB18" s="6"/>
      <c r="AC18" s="6"/>
      <c r="AD18" s="6"/>
      <c r="AE18" s="6"/>
    </row>
    <row r="19" spans="1:31">
      <c r="A19" s="156" t="s">
        <v>25</v>
      </c>
      <c r="B19" s="159">
        <v>0</v>
      </c>
      <c r="C19" s="326">
        <f>B19*(INDEX('Ex ante LI &amp; Eligibility Stats'!$A:$M,MATCH($A19,'Ex ante LI &amp; Eligibility Stats'!$A:$A,0),MATCH('Program MW '!C$6,'Ex ante LI &amp; Eligibility Stats'!$A$8:$M$8,0))/1000)</f>
        <v>0</v>
      </c>
      <c r="D19" s="327">
        <f>B19*(INDEX('Ex post LI &amp; Eligibility Stats'!$A:$N,MATCH($A19,'Ex post LI &amp; Eligibility Stats'!$A:$A,0),MATCH('Program MW '!C$6,'Ex post LI &amp; Eligibility Stats'!$A$8:$N$8,0))/1000)</f>
        <v>0</v>
      </c>
      <c r="E19" s="159">
        <v>0</v>
      </c>
      <c r="F19" s="326">
        <f>E19*(INDEX('Ex ante LI &amp; Eligibility Stats'!$A:$M,MATCH($A19,'Ex ante LI &amp; Eligibility Stats'!$A:$A,0),MATCH('Program MW '!F$6,'Ex ante LI &amp; Eligibility Stats'!$A$8:$M$8,0))/1000)</f>
        <v>0</v>
      </c>
      <c r="G19" s="327">
        <f>E19*(INDEX('Ex post LI &amp; Eligibility Stats'!$A:$N,MATCH($A19,'Ex post LI &amp; Eligibility Stats'!$A:$A,0),MATCH('Program MW '!F$6,'Ex post LI &amp; Eligibility Stats'!$A$8:$N$8,0))/1000)</f>
        <v>0</v>
      </c>
      <c r="H19" s="159">
        <v>0</v>
      </c>
      <c r="I19" s="326">
        <f>H19*(INDEX('Ex ante LI &amp; Eligibility Stats'!$A:$M,MATCH('Program MW '!$A19,'Ex ante LI &amp; Eligibility Stats'!$A:$A,0),MATCH('Program MW '!I$6,'Ex ante LI &amp; Eligibility Stats'!$A$8:$M$8,0))/1000)</f>
        <v>0</v>
      </c>
      <c r="J19" s="327">
        <f>H19*(INDEX('Ex post LI &amp; Eligibility Stats'!$A:$N,MATCH($A19,'Ex post LI &amp; Eligibility Stats'!$A:$A,0),MATCH('Program MW '!I$6,'Ex post LI &amp; Eligibility Stats'!$A$8:$N$8,0))/1000)</f>
        <v>0</v>
      </c>
      <c r="K19" s="159">
        <v>0</v>
      </c>
      <c r="L19" s="326">
        <f>K19*(INDEX('Ex ante LI &amp; Eligibility Stats'!$A:$M,MATCH('Program MW '!$A19,'Ex ante LI &amp; Eligibility Stats'!$A:$A,0),MATCH('Program MW '!L$6,'Ex ante LI &amp; Eligibility Stats'!$A$8:$M$8,0))/1000)</f>
        <v>0</v>
      </c>
      <c r="M19" s="327">
        <f>K19*(INDEX('Ex post LI &amp; Eligibility Stats'!$A:$N,MATCH($A19,'Ex post LI &amp; Eligibility Stats'!$A:$A,0),MATCH('Program MW '!L$6,'Ex post LI &amp; Eligibility Stats'!$A$8:$N$8,0))/1000)</f>
        <v>0</v>
      </c>
      <c r="N19" s="159">
        <v>134</v>
      </c>
      <c r="O19" s="326">
        <f>N19*(INDEX('Ex ante LI &amp; Eligibility Stats'!$A:$M,MATCH('Program MW '!$A19,'Ex ante LI &amp; Eligibility Stats'!$A:$A,0),MATCH('Program MW '!O$6,'Ex ante LI &amp; Eligibility Stats'!$A$8:$M$8,0))/1000)</f>
        <v>1.214125358</v>
      </c>
      <c r="P19" s="327">
        <f>N19*(INDEX('Ex post LI &amp; Eligibility Stats'!$A:$N,MATCH($A19,'Ex post LI &amp; Eligibility Stats'!$A:$A,0),MATCH('Program MW '!O$6,'Ex post LI &amp; Eligibility Stats'!$A$8:$N$8,0))/1000)</f>
        <v>1.8493139000000001</v>
      </c>
      <c r="Q19" s="159">
        <v>125</v>
      </c>
      <c r="R19" s="326">
        <f>Q19*(INDEX('Ex ante LI &amp; Eligibility Stats'!$A:$M,MATCH('Program MW '!$A19,'Ex ante LI &amp; Eligibility Stats'!$A:$A,0),MATCH('Program MW '!R$6,'Ex ante LI &amp; Eligibility Stats'!$A$8:$M$8,0))/1000)</f>
        <v>1.132579625</v>
      </c>
      <c r="S19" s="327">
        <f>Q19*(INDEX('Ex post LI &amp; Eligibility Stats'!$A:$N,MATCH($A19,'Ex post LI &amp; Eligibility Stats'!$A:$A,0),MATCH('Program MW '!R$6,'Ex post LI &amp; Eligibility Stats'!$A$8:$N$8,0))/1000)</f>
        <v>1.7251062500000001</v>
      </c>
      <c r="T19" s="4">
        <v>18875</v>
      </c>
      <c r="U19" s="6"/>
      <c r="V19" s="6"/>
      <c r="W19" s="6"/>
      <c r="X19" s="6"/>
      <c r="Y19" s="6"/>
      <c r="Z19" s="6"/>
      <c r="AA19" s="6"/>
      <c r="AB19" s="6"/>
      <c r="AC19" s="6"/>
      <c r="AD19" s="6"/>
      <c r="AE19" s="6"/>
    </row>
    <row r="20" spans="1:31" s="152" customFormat="1">
      <c r="A20" s="270" t="s">
        <v>55</v>
      </c>
      <c r="B20" s="206">
        <v>94</v>
      </c>
      <c r="C20" s="326">
        <v>0</v>
      </c>
      <c r="D20" s="327">
        <v>0</v>
      </c>
      <c r="E20" s="206">
        <v>94</v>
      </c>
      <c r="F20" s="326" t="s">
        <v>56</v>
      </c>
      <c r="G20" s="327" t="s">
        <v>56</v>
      </c>
      <c r="H20" s="206">
        <v>92</v>
      </c>
      <c r="I20" s="627">
        <f>H20*(INDEX('Ex ante LI &amp; Eligibility Stats'!$A:$M,MATCH('Program MW '!$A20,'Ex ante LI &amp; Eligibility Stats'!$A:$A,0),MATCH('Program MW '!I$6,'Ex ante LI &amp; Eligibility Stats'!$A$8:$M$8,0))/1000)</f>
        <v>7.8712055087089533E-4</v>
      </c>
      <c r="J20" s="327">
        <f>H20*(INDEX('Ex post LI &amp; Eligibility Stats'!$A:$N,MATCH($A20,'Ex post LI &amp; Eligibility Stats'!$A:$A,0),MATCH('Program MW '!I$6,'Ex post LI &amp; Eligibility Stats'!$A$8:$N$8,0))/1000)</f>
        <v>4.3654910326004027E-2</v>
      </c>
      <c r="K20" s="626">
        <v>91</v>
      </c>
      <c r="L20" s="326">
        <f>K20*(INDEX('Ex ante LI &amp; Eligibility Stats'!$A:$M,MATCH('Program MW '!$A20,'Ex ante LI &amp; Eligibility Stats'!$A:$A,0),MATCH('Program MW '!L$6,'Ex ante LI &amp; Eligibility Stats'!$A$8:$M$8,0))/1000)</f>
        <v>0</v>
      </c>
      <c r="M20" s="327">
        <f>K20*(INDEX('Ex post LI &amp; Eligibility Stats'!$A:$N,MATCH($A20,'Ex post LI &amp; Eligibility Stats'!$A:$A,0),MATCH('Program MW '!L$6,'Ex post LI &amp; Eligibility Stats'!$A$8:$N$8,0))/1000)</f>
        <v>4.318040043115616E-2</v>
      </c>
      <c r="N20" s="206">
        <v>87</v>
      </c>
      <c r="O20" s="326">
        <f>N20*(INDEX('Ex ante LI &amp; Eligibility Stats'!$A:$M,MATCH('Program MW '!$A20,'Ex ante LI &amp; Eligibility Stats'!$A:$A,0),MATCH('Program MW '!O$6,'Ex ante LI &amp; Eligibility Stats'!$A$8:$M$8,0))/1000)</f>
        <v>0</v>
      </c>
      <c r="P20" s="327">
        <f>N20*(INDEX('Ex post LI &amp; Eligibility Stats'!$A:$N,MATCH($A20,'Ex post LI &amp; Eligibility Stats'!$A:$A,0),MATCH('Program MW '!O$6,'Ex post LI &amp; Eligibility Stats'!$A$8:$N$8,0))/1000)</f>
        <v>4.1282360851764677E-2</v>
      </c>
      <c r="Q20" s="206">
        <v>95</v>
      </c>
      <c r="R20" s="326">
        <f>Q20*(INDEX('Ex ante LI &amp; Eligibility Stats'!$A:$M,MATCH('Program MW '!$A20,'Ex ante LI &amp; Eligibility Stats'!$A:$A,0),MATCH('Program MW '!R$6,'Ex ante LI &amp; Eligibility Stats'!$A$8:$M$8,0))/1000)</f>
        <v>0</v>
      </c>
      <c r="S20" s="327">
        <f>Q20*(INDEX('Ex post LI &amp; Eligibility Stats'!$A:$N,MATCH($A20,'Ex post LI &amp; Eligibility Stats'!$A:$A,0),MATCH('Program MW '!R$6,'Ex post LI &amp; Eligibility Stats'!$A$8:$N$8,0))/1000)</f>
        <v>4.5078440010547637E-2</v>
      </c>
      <c r="T20" s="411"/>
      <c r="U20" s="412"/>
      <c r="V20" s="412"/>
      <c r="W20" s="412"/>
      <c r="X20" s="412"/>
      <c r="Y20" s="412"/>
      <c r="Z20" s="412"/>
      <c r="AA20" s="412"/>
      <c r="AB20" s="412"/>
      <c r="AC20" s="412"/>
      <c r="AD20" s="412"/>
      <c r="AE20" s="412"/>
    </row>
    <row r="21" spans="1:31">
      <c r="A21" s="156" t="s">
        <v>26</v>
      </c>
      <c r="B21" s="159">
        <v>111812</v>
      </c>
      <c r="C21" s="326">
        <f>B21*(INDEX('Ex ante LI &amp; Eligibility Stats'!$A:$M,MATCH($A21,'Ex ante LI &amp; Eligibility Stats'!$A:$A,0),MATCH('Program MW '!C$6,'Ex ante LI &amp; Eligibility Stats'!$A$8:$M$8,0))/1000)</f>
        <v>1.11812</v>
      </c>
      <c r="D21" s="327">
        <f>B21*(INDEX('Ex post LI &amp; Eligibility Stats'!$A:$N,MATCH($A21,'Ex post LI &amp; Eligibility Stats'!$A:$A,0),MATCH('Program MW '!C$6,'Ex post LI &amp; Eligibility Stats'!$A$8:$N$8,0))/1000)</f>
        <v>5.5906000000000002</v>
      </c>
      <c r="E21" s="159">
        <v>111739</v>
      </c>
      <c r="F21" s="326">
        <f>E21*(INDEX('Ex ante LI &amp; Eligibility Stats'!$A:$M,MATCH($A21,'Ex ante LI &amp; Eligibility Stats'!$A:$A,0),MATCH('Program MW '!F$6,'Ex ante LI &amp; Eligibility Stats'!$A$8:$M$8,0))/1000)</f>
        <v>1.1173900000000001</v>
      </c>
      <c r="G21" s="327">
        <f>E21*(INDEX('Ex post LI &amp; Eligibility Stats'!$A:$N,MATCH($A21,'Ex post LI &amp; Eligibility Stats'!$A:$A,0),MATCH('Program MW '!F$6,'Ex post LI &amp; Eligibility Stats'!$A$8:$N$8,0))/1000)</f>
        <v>5.5869499999999999</v>
      </c>
      <c r="H21" s="159">
        <v>111470</v>
      </c>
      <c r="I21" s="628">
        <f>H21*(INDEX('Ex ante LI &amp; Eligibility Stats'!$A:$M,MATCH('Program MW '!$A21,'Ex ante LI &amp; Eligibility Stats'!$A:$A,0),MATCH('Program MW '!I$6,'Ex ante LI &amp; Eligibility Stats'!$A$8:$M$8,0))/1000)</f>
        <v>1.1604781531494454E-2</v>
      </c>
      <c r="J21" s="327">
        <f>H21*(INDEX('Ex post LI &amp; Eligibility Stats'!$A:$N,MATCH($A21,'Ex post LI &amp; Eligibility Stats'!$A:$A,0),MATCH('Program MW '!I$6,'Ex post LI &amp; Eligibility Stats'!$A$8:$N$8,0))/1000)</f>
        <v>5.5695092280344607</v>
      </c>
      <c r="K21" s="626">
        <v>112449</v>
      </c>
      <c r="L21" s="326">
        <f>K21*(INDEX('Ex ante LI &amp; Eligibility Stats'!$A:$M,MATCH('Program MW '!$A21,'Ex ante LI &amp; Eligibility Stats'!$A:$A,0),MATCH('Program MW '!L$6,'Ex ante LI &amp; Eligibility Stats'!$A$8:$M$8,0))/1000)</f>
        <v>8.2588858593487885E-2</v>
      </c>
      <c r="M21" s="327">
        <f>K21*(INDEX('Ex post LI &amp; Eligibility Stats'!$A:$N,MATCH($A21,'Ex post LI &amp; Eligibility Stats'!$A:$A,0),MATCH('Program MW '!L$6,'Ex post LI &amp; Eligibility Stats'!$A$8:$N$8,0))/1000)</f>
        <v>5.6184241785524991</v>
      </c>
      <c r="N21" s="159">
        <v>106176</v>
      </c>
      <c r="O21" s="326">
        <f>N21*(INDEX('Ex ante LI &amp; Eligibility Stats'!$A:$M,MATCH('Program MW '!$A21,'Ex ante LI &amp; Eligibility Stats'!$A:$A,0),MATCH('Program MW '!O$6,'Ex ante LI &amp; Eligibility Stats'!$A$8:$M$8,0))/1000)</f>
        <v>0.14518625372857208</v>
      </c>
      <c r="P21" s="327">
        <f>N21*(INDEX('Ex post LI &amp; Eligibility Stats'!$A:$N,MATCH($A21,'Ex post LI &amp; Eligibility Stats'!$A:$A,0),MATCH('Program MW '!O$6,'Ex post LI &amp; Eligibility Stats'!$A$8:$N$8,0))/1000)</f>
        <v>5.3049987601667432</v>
      </c>
      <c r="Q21" s="159">
        <v>105904</v>
      </c>
      <c r="R21" s="326">
        <f>Q21*(INDEX('Ex ante LI &amp; Eligibility Stats'!$A:$M,MATCH('Program MW '!$A21,'Ex ante LI &amp; Eligibility Stats'!$A:$A,0),MATCH('Program MW '!R$6,'Ex ante LI &amp; Eligibility Stats'!$A$8:$M$8,0))/1000)</f>
        <v>9.293238217800405E-2</v>
      </c>
      <c r="S21" s="327">
        <f>Q21*(INDEX('Ex post LI &amp; Eligibility Stats'!$A:$N,MATCH($A21,'Ex post LI &amp; Eligibility Stats'!$A:$A,0),MATCH('Program MW '!R$6,'Ex post LI &amp; Eligibility Stats'!$A$8:$N$8,0))/1000)</f>
        <v>5.2914084981229168</v>
      </c>
      <c r="T21" s="4"/>
      <c r="U21" s="6"/>
      <c r="V21" s="6"/>
      <c r="W21" s="6"/>
      <c r="X21" s="6"/>
      <c r="Y21" s="6"/>
      <c r="Z21" s="6"/>
      <c r="AA21" s="6"/>
      <c r="AB21" s="6"/>
      <c r="AC21" s="6"/>
      <c r="AD21" s="6"/>
      <c r="AE21" s="6"/>
    </row>
    <row r="22" spans="1:31">
      <c r="A22" s="227" t="s">
        <v>27</v>
      </c>
      <c r="B22" s="269">
        <v>17743</v>
      </c>
      <c r="C22" s="328">
        <f>B22*(INDEX('Ex ante LI &amp; Eligibility Stats'!$A:$M,MATCH($A22,'Ex ante LI &amp; Eligibility Stats'!$A:$A,0),MATCH('Program MW '!C$6,'Ex ante LI &amp; Eligibility Stats'!$A$8:$M$8,0))/1000)</f>
        <v>0.68663677264004952</v>
      </c>
      <c r="D22" s="329">
        <f>B22*(INDEX('Ex post LI &amp; Eligibility Stats'!$A:$N,MATCH($A22,'Ex post LI &amp; Eligibility Stats'!$A:$A,0),MATCH('Program MW '!C$6,'Ex post LI &amp; Eligibility Stats'!$A$8:$N$8,0))/1000)</f>
        <v>3.0163100000000003</v>
      </c>
      <c r="E22" s="269">
        <v>18502</v>
      </c>
      <c r="F22" s="558">
        <f>E22*(INDEX('Ex ante LI &amp; Eligibility Stats'!$A:$M,MATCH($A22,'Ex ante LI &amp; Eligibility Stats'!$A:$A,0),MATCH('Program MW '!F$6,'Ex ante LI &amp; Eligibility Stats'!$A$8:$M$8,0))/1000)</f>
        <v>0.63577350297570234</v>
      </c>
      <c r="G22" s="327">
        <f>E22*(INDEX('Ex post LI &amp; Eligibility Stats'!$A:$N,MATCH($A22,'Ex post LI &amp; Eligibility Stats'!$A:$A,0),MATCH('Program MW '!F$6,'Ex post LI &amp; Eligibility Stats'!$A$8:$N$8,0))/1000)</f>
        <v>3.14534</v>
      </c>
      <c r="H22" s="269">
        <v>19323</v>
      </c>
      <c r="I22" s="326">
        <f>H22*(INDEX('Ex ante LI &amp; Eligibility Stats'!$A:$M,MATCH('Program MW '!$A22,'Ex ante LI &amp; Eligibility Stats'!$A:$A,0),MATCH('Program MW '!I$6,'Ex ante LI &amp; Eligibility Stats'!$A$8:$M$8,0))/1000)</f>
        <v>0.81720589716985104</v>
      </c>
      <c r="J22" s="327">
        <f>H22*(INDEX('Ex post LI &amp; Eligibility Stats'!$A:$N,MATCH($A22,'Ex post LI &amp; Eligibility Stats'!$A:$A,0),MATCH('Program MW '!I$6,'Ex post LI &amp; Eligibility Stats'!$A$8:$N$8,0))/1000)</f>
        <v>3.2290746207483987</v>
      </c>
      <c r="K22" s="626">
        <v>16109</v>
      </c>
      <c r="L22" s="326">
        <f>K22*(INDEX('Ex ante LI &amp; Eligibility Stats'!$A:$M,MATCH('Program MW '!$A22,'Ex ante LI &amp; Eligibility Stats'!$A:$A,0),MATCH('Program MW '!L$6,'Ex ante LI &amp; Eligibility Stats'!$A$8:$M$8,0))/1000)</f>
        <v>0.74185605258546561</v>
      </c>
      <c r="M22" s="327">
        <f>K22*(INDEX('Ex post LI &amp; Eligibility Stats'!$A:$N,MATCH($A22,'Ex post LI &amp; Eligibility Stats'!$A:$A,0),MATCH('Program MW '!L$6,'Ex post LI &amp; Eligibility Stats'!$A$8:$N$8,0))/1000)</f>
        <v>2.6919817350119524</v>
      </c>
      <c r="N22" s="269">
        <v>19517</v>
      </c>
      <c r="O22" s="326">
        <f>N22*(INDEX('Ex ante LI &amp; Eligibility Stats'!$A:$M,MATCH('Program MW '!$A22,'Ex ante LI &amp; Eligibility Stats'!$A:$A,0),MATCH('Program MW '!O$6,'Ex ante LI &amp; Eligibility Stats'!$A$8:$M$8,0))/1000)</f>
        <v>1.9292683404082556</v>
      </c>
      <c r="P22" s="327">
        <f>N22*(INDEX('Ex post LI &amp; Eligibility Stats'!$A:$N,MATCH($A22,'Ex post LI &amp; Eligibility Stats'!$A:$A,0),MATCH('Program MW '!O$6,'Ex post LI &amp; Eligibility Stats'!$A$8:$N$8,0))/1000)</f>
        <v>3.2614940419782896</v>
      </c>
      <c r="Q22" s="269">
        <v>20395</v>
      </c>
      <c r="R22" s="326">
        <f>Q22*(INDEX('Ex ante LI &amp; Eligibility Stats'!$A:$M,MATCH('Program MW '!$A22,'Ex ante LI &amp; Eligibility Stats'!$A:$A,0),MATCH('Program MW '!R$6,'Ex ante LI &amp; Eligibility Stats'!$A$8:$M$8,0))/1000)</f>
        <v>1.5282490066869205</v>
      </c>
      <c r="S22" s="327">
        <f>Q22*(INDEX('Ex post LI &amp; Eligibility Stats'!$A:$N,MATCH($A22,'Ex post LI &amp; Eligibility Stats'!$A:$A,0),MATCH('Program MW '!R$6,'Ex post LI &amp; Eligibility Stats'!$A$8:$N$8,0))/1000)</f>
        <v>3.4082169896063546</v>
      </c>
      <c r="T22" s="4"/>
      <c r="U22" s="6"/>
      <c r="V22" s="6"/>
      <c r="W22" s="6"/>
      <c r="X22" s="6"/>
      <c r="Y22" s="6"/>
      <c r="Z22" s="6"/>
      <c r="AA22" s="6"/>
      <c r="AB22" s="6"/>
      <c r="AC22" s="6"/>
      <c r="AD22" s="6"/>
      <c r="AE22" s="6"/>
    </row>
    <row r="23" spans="1:31" ht="13.5" thickBot="1">
      <c r="A23" s="184" t="s">
        <v>57</v>
      </c>
      <c r="B23" s="157">
        <f t="shared" ref="B23:S23" si="3">SUM(B12:B22)</f>
        <v>174699</v>
      </c>
      <c r="C23" s="174">
        <f t="shared" si="3"/>
        <v>3.778228213925745</v>
      </c>
      <c r="D23" s="173">
        <f t="shared" si="3"/>
        <v>21.590120000000002</v>
      </c>
      <c r="E23" s="1">
        <f t="shared" si="3"/>
        <v>175218</v>
      </c>
      <c r="F23" s="229">
        <f t="shared" si="3"/>
        <v>3.7227877957456035</v>
      </c>
      <c r="G23" s="230">
        <f t="shared" si="3"/>
        <v>21.668740000000003</v>
      </c>
      <c r="H23" s="1">
        <f t="shared" si="3"/>
        <v>174537</v>
      </c>
      <c r="I23" s="229">
        <f t="shared" si="3"/>
        <v>0.82959779925221644</v>
      </c>
      <c r="J23" s="230">
        <f t="shared" si="3"/>
        <v>22.121750536563383</v>
      </c>
      <c r="K23" s="1">
        <f t="shared" si="3"/>
        <v>172865</v>
      </c>
      <c r="L23" s="229">
        <f t="shared" si="3"/>
        <v>1.9760197769305581</v>
      </c>
      <c r="M23" s="230">
        <f t="shared" si="3"/>
        <v>21.894651100392426</v>
      </c>
      <c r="N23" s="1">
        <f t="shared" si="3"/>
        <v>168949</v>
      </c>
      <c r="O23" s="231">
        <f t="shared" si="3"/>
        <v>6.1291205687216852</v>
      </c>
      <c r="P23" s="234">
        <f t="shared" si="3"/>
        <v>24.28094192448647</v>
      </c>
      <c r="Q23" s="1">
        <f t="shared" si="3"/>
        <v>160097</v>
      </c>
      <c r="R23" s="238">
        <f t="shared" si="3"/>
        <v>4.7674030645313437</v>
      </c>
      <c r="S23" s="239">
        <f t="shared" si="3"/>
        <v>20.599531888362314</v>
      </c>
      <c r="T23" s="5"/>
      <c r="U23" s="6"/>
      <c r="V23" s="6"/>
      <c r="W23" s="6"/>
      <c r="X23" s="6"/>
      <c r="Y23" s="6"/>
      <c r="Z23" s="6"/>
      <c r="AA23" s="6"/>
      <c r="AB23" s="6"/>
      <c r="AC23" s="6"/>
      <c r="AD23" s="6"/>
      <c r="AE23" s="6"/>
    </row>
    <row r="24" spans="1:31" ht="14" thickTop="1" thickBot="1">
      <c r="A24" s="191" t="s">
        <v>58</v>
      </c>
      <c r="B24" s="2">
        <f t="shared" ref="B24:S24" si="4">+B10+B23</f>
        <v>174703</v>
      </c>
      <c r="C24" s="174">
        <f t="shared" si="4"/>
        <v>4.3699852940038699</v>
      </c>
      <c r="D24" s="267">
        <f t="shared" si="4"/>
        <v>22.014440000000004</v>
      </c>
      <c r="E24" s="2">
        <f t="shared" si="4"/>
        <v>175222</v>
      </c>
      <c r="F24" s="174">
        <f t="shared" si="4"/>
        <v>4.216221236907713</v>
      </c>
      <c r="G24" s="174">
        <f t="shared" si="4"/>
        <v>22.093060000000005</v>
      </c>
      <c r="H24" s="2">
        <f t="shared" si="4"/>
        <v>174541</v>
      </c>
      <c r="I24" s="174">
        <f t="shared" si="4"/>
        <v>1.4463025111662788</v>
      </c>
      <c r="J24" s="173">
        <f t="shared" si="4"/>
        <v>22.545750536563382</v>
      </c>
      <c r="K24" s="2">
        <f t="shared" si="4"/>
        <v>172867</v>
      </c>
      <c r="L24" s="174">
        <f t="shared" si="4"/>
        <v>2.2587454544207923</v>
      </c>
      <c r="M24" s="173">
        <f t="shared" si="4"/>
        <v>22.106651100392426</v>
      </c>
      <c r="N24" s="2">
        <f t="shared" si="4"/>
        <v>168951</v>
      </c>
      <c r="O24" s="232">
        <f t="shared" si="4"/>
        <v>6.4037210936240285</v>
      </c>
      <c r="P24" s="173">
        <f t="shared" si="4"/>
        <v>24.49294192448647</v>
      </c>
      <c r="Q24" s="2">
        <f t="shared" si="4"/>
        <v>160098</v>
      </c>
      <c r="R24" s="241">
        <f t="shared" si="4"/>
        <v>4.9344875524463827</v>
      </c>
      <c r="S24" s="240">
        <f t="shared" si="4"/>
        <v>20.705531888362316</v>
      </c>
      <c r="T24" s="8"/>
      <c r="U24" s="6"/>
      <c r="V24" s="6"/>
      <c r="W24" s="6"/>
      <c r="X24" s="6"/>
      <c r="Y24" s="6"/>
      <c r="Z24" s="6"/>
      <c r="AA24" s="6"/>
      <c r="AB24" s="6"/>
      <c r="AC24" s="6"/>
      <c r="AD24" s="6"/>
      <c r="AE24" s="6"/>
    </row>
    <row r="25" spans="1:31" ht="13" thickTop="1">
      <c r="A25" s="159"/>
      <c r="B25" s="92"/>
      <c r="C25" s="90"/>
      <c r="D25" s="91"/>
      <c r="E25" s="159"/>
      <c r="F25" s="90"/>
      <c r="G25" s="93"/>
      <c r="H25" s="159"/>
      <c r="I25" s="90"/>
      <c r="J25" s="93"/>
      <c r="K25" s="626"/>
      <c r="L25" s="90"/>
      <c r="M25" s="93"/>
      <c r="N25" s="159"/>
      <c r="O25" s="90"/>
      <c r="P25" s="93"/>
      <c r="Q25" s="159"/>
      <c r="R25" s="90"/>
      <c r="S25" s="93"/>
      <c r="T25" s="9"/>
      <c r="U25" s="6"/>
      <c r="V25" s="6"/>
      <c r="W25" s="6"/>
      <c r="X25" s="6"/>
      <c r="Y25" s="6"/>
      <c r="Z25" s="6"/>
      <c r="AA25" s="6"/>
      <c r="AB25" s="6"/>
      <c r="AC25" s="6"/>
      <c r="AD25" s="6"/>
      <c r="AE25" s="6"/>
    </row>
    <row r="26" spans="1:31">
      <c r="A26" s="269"/>
      <c r="B26" s="41"/>
      <c r="C26" s="41"/>
      <c r="D26" s="41"/>
      <c r="E26" s="269"/>
      <c r="F26" s="41"/>
      <c r="G26" s="41"/>
      <c r="H26" s="269"/>
      <c r="I26" s="41"/>
      <c r="J26" s="41"/>
      <c r="K26" s="626"/>
      <c r="L26" s="41"/>
      <c r="M26" s="41"/>
      <c r="N26" s="269"/>
      <c r="O26" s="41"/>
      <c r="P26" s="41"/>
      <c r="Q26" s="269"/>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ht="13">
      <c r="A28" s="88"/>
      <c r="B28" s="385"/>
      <c r="C28" s="385" t="s">
        <v>59</v>
      </c>
      <c r="D28" s="255"/>
      <c r="E28" s="385"/>
      <c r="F28" s="385" t="s">
        <v>66</v>
      </c>
      <c r="G28" s="385"/>
      <c r="H28" s="385"/>
      <c r="I28" s="385" t="s">
        <v>67</v>
      </c>
      <c r="J28" s="385"/>
      <c r="K28" s="385"/>
      <c r="L28" s="385" t="s">
        <v>61</v>
      </c>
      <c r="M28" s="385"/>
      <c r="N28" s="385"/>
      <c r="O28" s="385" t="s">
        <v>68</v>
      </c>
      <c r="P28" s="385"/>
      <c r="Q28" s="385"/>
      <c r="R28" s="385" t="s">
        <v>62</v>
      </c>
      <c r="S28" s="385"/>
      <c r="T28" s="146"/>
      <c r="U28" s="146"/>
    </row>
    <row r="29" spans="1:31" ht="42.5">
      <c r="A29" s="162" t="s">
        <v>46</v>
      </c>
      <c r="B29" s="181" t="s">
        <v>6</v>
      </c>
      <c r="C29" s="178" t="s">
        <v>48</v>
      </c>
      <c r="D29" s="168" t="s">
        <v>49</v>
      </c>
      <c r="E29" s="181" t="s">
        <v>6</v>
      </c>
      <c r="F29" s="178" t="s">
        <v>272</v>
      </c>
      <c r="G29" s="168" t="s">
        <v>273</v>
      </c>
      <c r="H29" s="181" t="s">
        <v>6</v>
      </c>
      <c r="I29" s="178" t="s">
        <v>272</v>
      </c>
      <c r="J29" s="168" t="s">
        <v>273</v>
      </c>
      <c r="K29" s="181" t="s">
        <v>6</v>
      </c>
      <c r="L29" s="178" t="s">
        <v>272</v>
      </c>
      <c r="M29" s="168" t="s">
        <v>273</v>
      </c>
      <c r="N29" s="181" t="s">
        <v>6</v>
      </c>
      <c r="O29" s="178" t="s">
        <v>272</v>
      </c>
      <c r="P29" s="168" t="s">
        <v>273</v>
      </c>
      <c r="Q29" s="181" t="s">
        <v>6</v>
      </c>
      <c r="R29" s="178" t="s">
        <v>272</v>
      </c>
      <c r="S29" s="168" t="s">
        <v>273</v>
      </c>
      <c r="T29" s="168" t="s">
        <v>50</v>
      </c>
      <c r="V29" s="11"/>
    </row>
    <row r="30" spans="1:31" ht="13">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1</v>
      </c>
      <c r="C31" s="326">
        <f>B31*(INDEX('Ex ante LI &amp; Eligibility Stats'!$A:$M,MATCH('Program MW '!$A31,'Ex ante LI &amp; Eligibility Stats'!$A:$A,0),MATCH('Program MW '!C$28,'Ex ante LI &amp; Eligibility Stats'!$A$8:$M$8,0))/1000)</f>
        <v>0.15948800659179688</v>
      </c>
      <c r="D31" s="326">
        <f>B31*(INDEX('Ex post LI &amp; Eligibility Stats'!$A:$N,MATCH($A31,'Ex post LI &amp; Eligibility Stats'!$A:$A,0),MATCH('Program MW '!C$28,'Ex post LI &amp; Eligibility Stats'!$A$8:$N$8,0))/1000)</f>
        <v>0.106</v>
      </c>
      <c r="E31" s="124">
        <v>0</v>
      </c>
      <c r="F31" s="326">
        <f>E31*(INDEX('Ex ante LI &amp; Eligibility Stats'!$A:$M,MATCH('Program MW '!$A31,'Ex ante LI &amp; Eligibility Stats'!$A:$A,0),MATCH('Program MW '!F$28,'Ex ante LI &amp; Eligibility Stats'!$A$8:$M$8,0))/1000)</f>
        <v>0</v>
      </c>
      <c r="G31" s="326">
        <f>E31*(INDEX('Ex post LI &amp; Eligibility Stats'!$A:$N,MATCH($A31,'Ex post LI &amp; Eligibility Stats'!$A:$A,0),MATCH('Program MW '!F$28,'Ex post LI &amp; Eligibility Stats'!$A$8:$N$8,0))/1000)</f>
        <v>0</v>
      </c>
      <c r="H31" s="124">
        <v>0</v>
      </c>
      <c r="I31" s="326">
        <f>H31*(INDEX('Ex ante LI &amp; Eligibility Stats'!$A:$M,MATCH('Program MW '!$A31,'Ex ante LI &amp; Eligibility Stats'!$A:$A,0),MATCH('Program MW '!I$28,'Ex ante LI &amp; Eligibility Stats'!$A$8:$M$8,0))/1000)</f>
        <v>0</v>
      </c>
      <c r="J31" s="326">
        <f>H31*(INDEX('Ex post LI &amp; Eligibility Stats'!$A:$N,MATCH($A31,'Ex post LI &amp; Eligibility Stats'!$A:$A,0),MATCH('Program MW '!I$28,'Ex post LI &amp; Eligibility Stats'!$A$8:$N$8,0))/1000)</f>
        <v>0</v>
      </c>
      <c r="K31" s="126">
        <v>0</v>
      </c>
      <c r="L31" s="326">
        <f>K31*(INDEX('Ex ante LI &amp; Eligibility Stats'!$A:$M,MATCH('Program MW '!$A31,'Ex ante LI &amp; Eligibility Stats'!$A:$A,0),MATCH('Program MW '!L$28,'Ex ante LI &amp; Eligibility Stats'!$A$8:$M$8,0))/1000)</f>
        <v>0</v>
      </c>
      <c r="M31" s="326">
        <f>K31*(INDEX('Ex post LI &amp; Eligibility Stats'!$A:$N,MATCH($A31,'Ex post LI &amp; Eligibility Stats'!$A:$A,0),MATCH('Program MW '!L$28,'Ex post LI &amp; Eligibility Stats'!$A$8:$N$8,0))/1000)</f>
        <v>0</v>
      </c>
      <c r="N31" s="124">
        <v>0</v>
      </c>
      <c r="O31" s="326">
        <f>N31*(INDEX('Ex ante LI &amp; Eligibility Stats'!$A:$M,MATCH('Program MW '!$A31,'Ex ante LI &amp; Eligibility Stats'!$A:$A,0),MATCH('Program MW '!O$28,'Ex ante LI &amp; Eligibility Stats'!$A$8:$M$8,0))/1000)</f>
        <v>0</v>
      </c>
      <c r="P31" s="326">
        <f>N31*(INDEX('Ex post LI &amp; Eligibility Stats'!$A:$N,MATCH($A31,'Ex post LI &amp; Eligibility Stats'!$A:$A,0),MATCH('Program MW '!O$28,'Ex post LI &amp; Eligibility Stats'!$A$8:$N$8,0))/1000)</f>
        <v>0</v>
      </c>
      <c r="Q31" s="124">
        <v>0</v>
      </c>
      <c r="R31" s="326">
        <f>Q31*(INDEX('Ex ante LI &amp; Eligibility Stats'!$A:$M,MATCH('Program MW '!$A31,'Ex ante LI &amp; Eligibility Stats'!$A:$A,0),MATCH('Program MW '!R$28,'Ex ante LI &amp; Eligibility Stats'!$A$8:$M$8,0))/1000)</f>
        <v>0</v>
      </c>
      <c r="S31" s="326">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1</v>
      </c>
      <c r="C32" s="257">
        <f t="shared" si="5"/>
        <v>0.15948800659179688</v>
      </c>
      <c r="D32" s="258">
        <f t="shared" si="5"/>
        <v>0.106</v>
      </c>
      <c r="E32" s="125">
        <f t="shared" si="5"/>
        <v>0</v>
      </c>
      <c r="F32" s="257">
        <f t="shared" ref="F32:G32" si="6">SUM(F31:F31)</f>
        <v>0</v>
      </c>
      <c r="G32" s="258">
        <f t="shared" si="6"/>
        <v>0</v>
      </c>
      <c r="H32" s="125">
        <f t="shared" si="5"/>
        <v>0</v>
      </c>
      <c r="I32" s="257">
        <f t="shared" si="5"/>
        <v>0</v>
      </c>
      <c r="J32" s="258">
        <f t="shared" si="5"/>
        <v>0</v>
      </c>
      <c r="K32" s="125">
        <f t="shared" si="5"/>
        <v>0</v>
      </c>
      <c r="L32" s="257">
        <f t="shared" ref="L32:M32" si="7">SUM(L31:L31)</f>
        <v>0</v>
      </c>
      <c r="M32" s="258">
        <f t="shared" si="7"/>
        <v>0</v>
      </c>
      <c r="N32" s="125">
        <f t="shared" ref="N32:Q32" si="8">SUM(N31:N31)</f>
        <v>0</v>
      </c>
      <c r="O32" s="257">
        <f t="shared" ref="O32:P32" si="9">SUM(O31:O31)</f>
        <v>0</v>
      </c>
      <c r="P32" s="258">
        <f t="shared" si="9"/>
        <v>0</v>
      </c>
      <c r="Q32" s="125">
        <f t="shared" si="8"/>
        <v>0</v>
      </c>
      <c r="R32" s="257">
        <f t="shared" ref="R32:S32" si="10">SUM(R31:R31)</f>
        <v>0</v>
      </c>
      <c r="S32" s="258">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5806</v>
      </c>
      <c r="C34" s="326">
        <f>B34*(INDEX('Ex ante LI &amp; Eligibility Stats'!$A:$M,MATCH('Program MW '!$A34,'Ex ante LI &amp; Eligibility Stats'!$A:$A,0),MATCH('Program MW '!C$28,'Ex ante LI &amp; Eligibility Stats'!$A$8:$M$8,0))/1000)</f>
        <v>0</v>
      </c>
      <c r="D34" s="325">
        <f>B34*(INDEX('Ex post LI &amp; Eligibility Stats'!$A:$N,MATCH($A34,'Ex post LI &amp; Eligibility Stats'!$A:$A,0),MATCH('Program MW '!C$28,'Ex post LI &amp; Eligibility Stats'!$A$8:$N$8,0))/1000)</f>
        <v>2.7938888237196737</v>
      </c>
      <c r="E34" s="158">
        <v>0</v>
      </c>
      <c r="F34" s="326">
        <f>E34*(INDEX('Ex ante LI &amp; Eligibility Stats'!$A:$M,MATCH('Program MW '!$A34,'Ex ante LI &amp; Eligibility Stats'!$A:$A,0),MATCH('Program MW '!F$28,'Ex ante LI &amp; Eligibility Stats'!$A$8:$M$8,0))/1000)</f>
        <v>0</v>
      </c>
      <c r="G34" s="325">
        <f>E34*(INDEX('Ex post LI &amp; Eligibility Stats'!$A:$N,MATCH($A34,'Ex post LI &amp; Eligibility Stats'!$A:$A,0),MATCH('Program MW '!F$28,'Ex post LI &amp; Eligibility Stats'!$A$8:$N$8,0))/1000)</f>
        <v>0</v>
      </c>
      <c r="H34" s="158">
        <v>0</v>
      </c>
      <c r="I34" s="326">
        <f>H34*(INDEX('Ex ante LI &amp; Eligibility Stats'!$A:$M,MATCH('Program MW '!$A34,'Ex ante LI &amp; Eligibility Stats'!$A:$A,0),MATCH('Program MW '!I$28,'Ex ante LI &amp; Eligibility Stats'!$A$8:$M$8,0))/1000)</f>
        <v>0</v>
      </c>
      <c r="J34" s="325">
        <f>H34*(INDEX('Ex post LI &amp; Eligibility Stats'!$A:$N,MATCH($A34,'Ex post LI &amp; Eligibility Stats'!$A:$A,0),MATCH('Program MW '!I$28,'Ex post LI &amp; Eligibility Stats'!$A$8:$N$8,0))/1000)</f>
        <v>0</v>
      </c>
      <c r="K34" s="158">
        <v>0</v>
      </c>
      <c r="L34" s="326">
        <f>K34*(INDEX('Ex ante LI &amp; Eligibility Stats'!$A:$M,MATCH('Program MW '!$A34,'Ex ante LI &amp; Eligibility Stats'!$A:$A,0),MATCH('Program MW '!L$28,'Ex ante LI &amp; Eligibility Stats'!$A$8:$M$8,0))/1000)</f>
        <v>0</v>
      </c>
      <c r="M34" s="325">
        <f>K34*(INDEX('Ex post LI &amp; Eligibility Stats'!$A:$N,MATCH($A34,'Ex post LI &amp; Eligibility Stats'!$A:$A,0),MATCH('Program MW '!L$28,'Ex post LI &amp; Eligibility Stats'!$A$8:$N$8,0))/1000)</f>
        <v>0</v>
      </c>
      <c r="N34" s="158">
        <v>0</v>
      </c>
      <c r="O34" s="326">
        <f>N34*(INDEX('Ex ante LI &amp; Eligibility Stats'!$A:$M,MATCH('Program MW '!$A34,'Ex ante LI &amp; Eligibility Stats'!$A:$A,0),MATCH('Program MW '!O$28,'Ex ante LI &amp; Eligibility Stats'!$A$8:$M$8,0))/1000)</f>
        <v>0</v>
      </c>
      <c r="P34" s="325">
        <f>N34*(INDEX('Ex post LI &amp; Eligibility Stats'!$A:$N,MATCH($A34,'Ex post LI &amp; Eligibility Stats'!$A:$A,0),MATCH('Program MW '!O$28,'Ex post LI &amp; Eligibility Stats'!$A$8:$N$8,0))/1000)</f>
        <v>0</v>
      </c>
      <c r="Q34" s="158">
        <v>0</v>
      </c>
      <c r="R34" s="326">
        <f>Q34*(INDEX('Ex ante LI &amp; Eligibility Stats'!$A:$M,MATCH('Program MW '!$A34,'Ex ante LI &amp; Eligibility Stats'!$A:$A,0),MATCH('Program MW '!R$28,'Ex ante LI &amp; Eligibility Stats'!$A$8:$M$8,0))/1000)</f>
        <v>0</v>
      </c>
      <c r="S34" s="325">
        <f>Q34*(INDEX('Ex post LI &amp; Eligibility Stats'!$A:$N,MATCH($A34,'Ex post LI &amp; Eligibility Stats'!$A:$A,0),MATCH('Program MW '!R$28,'Ex post LI &amp; Eligibility Stats'!$A$8:$N$8,0))/1000)</f>
        <v>0</v>
      </c>
      <c r="T34" s="7">
        <v>138123</v>
      </c>
    </row>
    <row r="35" spans="1:26" ht="13.5">
      <c r="A35" s="205" t="s">
        <v>54</v>
      </c>
      <c r="B35" s="206">
        <v>0</v>
      </c>
      <c r="C35" s="326">
        <v>0</v>
      </c>
      <c r="D35" s="327">
        <v>0</v>
      </c>
      <c r="E35" s="206">
        <v>0</v>
      </c>
      <c r="F35" s="326">
        <v>0</v>
      </c>
      <c r="G35" s="327">
        <v>0</v>
      </c>
      <c r="H35" s="206">
        <v>0</v>
      </c>
      <c r="I35" s="326">
        <v>0</v>
      </c>
      <c r="J35" s="327">
        <v>0</v>
      </c>
      <c r="K35" s="206">
        <v>0</v>
      </c>
      <c r="L35" s="326">
        <v>0</v>
      </c>
      <c r="M35" s="327">
        <v>0</v>
      </c>
      <c r="N35" s="206">
        <v>0</v>
      </c>
      <c r="O35" s="326">
        <v>0</v>
      </c>
      <c r="P35" s="327">
        <v>0</v>
      </c>
      <c r="Q35" s="206">
        <v>0</v>
      </c>
      <c r="R35" s="326">
        <v>0</v>
      </c>
      <c r="S35" s="327">
        <v>0</v>
      </c>
      <c r="T35" s="4"/>
    </row>
    <row r="36" spans="1:26">
      <c r="A36" s="271" t="s">
        <v>17</v>
      </c>
      <c r="B36" s="159">
        <v>14955</v>
      </c>
      <c r="C36" s="326">
        <f>B36*(INDEX('Ex ante LI &amp; Eligibility Stats'!$A:$M,MATCH('Program MW '!$A36,'Ex ante LI &amp; Eligibility Stats'!$A:$A,0),MATCH('Program MW '!C$28,'Ex ante LI &amp; Eligibility Stats'!$A$8:$M$8,0))/1000)</f>
        <v>2.4866744115203621</v>
      </c>
      <c r="D36" s="327">
        <f>B36*(INDEX('Ex post LI &amp; Eligibility Stats'!$A:$N,MATCH($A36,'Ex post LI &amp; Eligibility Stats'!$A:$A,0),MATCH('Program MW '!C$28,'Ex post LI &amp; Eligibility Stats'!$A$8:$N$8,0))/1000)</f>
        <v>4.4907641302049166</v>
      </c>
      <c r="E36" s="159">
        <v>0</v>
      </c>
      <c r="F36" s="326">
        <f>E36*(INDEX('Ex ante LI &amp; Eligibility Stats'!$A:$M,MATCH('Program MW '!$A36,'Ex ante LI &amp; Eligibility Stats'!$A:$A,0),MATCH('Program MW '!F$28,'Ex ante LI &amp; Eligibility Stats'!$A$8:$M$8,0))/1000)</f>
        <v>0</v>
      </c>
      <c r="G36" s="327">
        <f>E36*(INDEX('Ex post LI &amp; Eligibility Stats'!$A:$N,MATCH($A36,'Ex post LI &amp; Eligibility Stats'!$A:$A,0),MATCH('Program MW '!F$28,'Ex post LI &amp; Eligibility Stats'!$A$8:$N$8,0))/1000)</f>
        <v>0</v>
      </c>
      <c r="H36" s="159">
        <v>0</v>
      </c>
      <c r="I36" s="326">
        <f>H36*(INDEX('Ex ante LI &amp; Eligibility Stats'!$A:$M,MATCH('Program MW '!$A36,'Ex ante LI &amp; Eligibility Stats'!$A:$A,0),MATCH('Program MW '!I$28,'Ex ante LI &amp; Eligibility Stats'!$A$8:$M$8,0))/1000)</f>
        <v>0</v>
      </c>
      <c r="J36" s="327">
        <f>H36*(INDEX('Ex post LI &amp; Eligibility Stats'!$A:$N,MATCH($A36,'Ex post LI &amp; Eligibility Stats'!$A:$A,0),MATCH('Program MW '!I$28,'Ex post LI &amp; Eligibility Stats'!$A$8:$N$8,0))/1000)</f>
        <v>0</v>
      </c>
      <c r="K36" s="159">
        <v>0</v>
      </c>
      <c r="L36" s="326">
        <f>K36*(INDEX('Ex ante LI &amp; Eligibility Stats'!$A:$M,MATCH('Program MW '!$A36,'Ex ante LI &amp; Eligibility Stats'!$A:$A,0),MATCH('Program MW '!L$28,'Ex ante LI &amp; Eligibility Stats'!$A$8:$M$8,0))/1000)</f>
        <v>0</v>
      </c>
      <c r="M36" s="327">
        <f>K36*(INDEX('Ex post LI &amp; Eligibility Stats'!$A:$N,MATCH($A36,'Ex post LI &amp; Eligibility Stats'!$A:$A,0),MATCH('Program MW '!L$28,'Ex post LI &amp; Eligibility Stats'!$A$8:$N$8,0))/1000)</f>
        <v>0</v>
      </c>
      <c r="N36" s="159">
        <v>0</v>
      </c>
      <c r="O36" s="494">
        <f>N36*(INDEX('Ex ante LI &amp; Eligibility Stats'!$A:$M,MATCH('Program MW '!$A36,'Ex ante LI &amp; Eligibility Stats'!$A:$A,0),MATCH('Program MW '!O$28,'Ex ante LI &amp; Eligibility Stats'!$A$8:$M$8,0))/1000)</f>
        <v>0</v>
      </c>
      <c r="P36" s="327">
        <f>N36*(INDEX('Ex post LI &amp; Eligibility Stats'!$A:$N,MATCH($A36,'Ex post LI &amp; Eligibility Stats'!$A:$A,0),MATCH('Program MW '!O$28,'Ex post LI &amp; Eligibility Stats'!$A$8:$N$8,0))/1000)</f>
        <v>0</v>
      </c>
      <c r="Q36" s="159">
        <v>0</v>
      </c>
      <c r="R36" s="326">
        <f>Q36*(INDEX('Ex ante LI &amp; Eligibility Stats'!$A:$M,MATCH('Program MW '!$A36,'Ex ante LI &amp; Eligibility Stats'!$A:$A,0),MATCH('Program MW '!R$28,'Ex ante LI &amp; Eligibility Stats'!$A$8:$M$8,0))/1000)</f>
        <v>0</v>
      </c>
      <c r="S36" s="327">
        <f>Q36*(INDEX('Ex post LI &amp; Eligibility Stats'!$A:$N,MATCH($A36,'Ex post LI &amp; Eligibility Stats'!$A:$A,0),MATCH('Program MW '!R$28,'Ex post LI &amp; Eligibility Stats'!$A$8:$N$8,0))/1000)</f>
        <v>0</v>
      </c>
      <c r="T36" s="4">
        <v>663393.5</v>
      </c>
    </row>
    <row r="37" spans="1:26">
      <c r="A37" s="271" t="s">
        <v>20</v>
      </c>
      <c r="B37" s="159">
        <v>249</v>
      </c>
      <c r="C37" s="326">
        <f>B37*(INDEX('Ex ante LI &amp; Eligibility Stats'!$A:$M,MATCH('Program MW '!$A37,'Ex ante LI &amp; Eligibility Stats'!$A:$A,0),MATCH('Program MW '!C$28,'Ex ante LI &amp; Eligibility Stats'!$A$8:$M$8,0))/1000)</f>
        <v>0.51758776760101322</v>
      </c>
      <c r="D37" s="327">
        <f>B37*(INDEX('Ex post LI &amp; Eligibility Stats'!$A:$N,MATCH($A37,'Ex post LI &amp; Eligibility Stats'!$A:$A,0),MATCH('Program MW '!C$28,'Ex post LI &amp; Eligibility Stats'!$A$8:$N$8,0))/1000)</f>
        <v>0.11549731957912444</v>
      </c>
      <c r="E37" s="159">
        <v>0</v>
      </c>
      <c r="F37" s="326">
        <f>E37*(INDEX('Ex ante LI &amp; Eligibility Stats'!$A:$M,MATCH('Program MW '!$A37,'Ex ante LI &amp; Eligibility Stats'!$A:$A,0),MATCH('Program MW '!F$28,'Ex ante LI &amp; Eligibility Stats'!$A$8:$M$8,0))/1000)</f>
        <v>0</v>
      </c>
      <c r="G37" s="327">
        <f>E37*(INDEX('Ex post LI &amp; Eligibility Stats'!$A:$N,MATCH($A37,'Ex post LI &amp; Eligibility Stats'!$A:$A,0),MATCH('Program MW '!F$28,'Ex post LI &amp; Eligibility Stats'!$A$8:$N$8,0))/1000)</f>
        <v>0</v>
      </c>
      <c r="H37" s="159">
        <v>0</v>
      </c>
      <c r="I37" s="326">
        <f>H37*(INDEX('Ex ante LI &amp; Eligibility Stats'!$A:$M,MATCH('Program MW '!$A37,'Ex ante LI &amp; Eligibility Stats'!$A:$A,0),MATCH('Program MW '!I$28,'Ex ante LI &amp; Eligibility Stats'!$A$8:$M$8,0))/1000)</f>
        <v>0</v>
      </c>
      <c r="J37" s="327">
        <f>H37*(INDEX('Ex post LI &amp; Eligibility Stats'!$A:$N,MATCH($A37,'Ex post LI &amp; Eligibility Stats'!$A:$A,0),MATCH('Program MW '!I$28,'Ex post LI &amp; Eligibility Stats'!$A$8:$N$8,0))/1000)</f>
        <v>0</v>
      </c>
      <c r="K37" s="159">
        <v>0</v>
      </c>
      <c r="L37" s="326">
        <f>K37*(INDEX('Ex ante LI &amp; Eligibility Stats'!$A:$M,MATCH('Program MW '!$A37,'Ex ante LI &amp; Eligibility Stats'!$A:$A,0),MATCH('Program MW '!L$28,'Ex ante LI &amp; Eligibility Stats'!$A$8:$M$8,0))/1000)</f>
        <v>0</v>
      </c>
      <c r="M37" s="327">
        <f>K37*(INDEX('Ex post LI &amp; Eligibility Stats'!$A:$N,MATCH($A37,'Ex post LI &amp; Eligibility Stats'!$A:$A,0),MATCH('Program MW '!L$28,'Ex post LI &amp; Eligibility Stats'!$A$8:$N$8,0))/1000)</f>
        <v>0</v>
      </c>
      <c r="N37" s="159">
        <v>0</v>
      </c>
      <c r="O37" s="326">
        <f>N37*(INDEX('Ex ante LI &amp; Eligibility Stats'!$A:$M,MATCH('Program MW '!$A37,'Ex ante LI &amp; Eligibility Stats'!$A:$A,0),MATCH('Program MW '!O$28,'Ex ante LI &amp; Eligibility Stats'!$A$8:$M$8,0))/1000)</f>
        <v>0</v>
      </c>
      <c r="P37" s="327">
        <f>N37*(INDEX('Ex post LI &amp; Eligibility Stats'!$A:$N,MATCH($A37,'Ex post LI &amp; Eligibility Stats'!$A:$A,0),MATCH('Program MW '!O$28,'Ex post LI &amp; Eligibility Stats'!$A$8:$N$8,0))/1000)</f>
        <v>0</v>
      </c>
      <c r="Q37" s="159">
        <v>0</v>
      </c>
      <c r="R37" s="326">
        <f>Q37*(INDEX('Ex ante LI &amp; Eligibility Stats'!$A:$M,MATCH('Program MW '!$A37,'Ex ante LI &amp; Eligibility Stats'!$A:$A,0),MATCH('Program MW '!R$28,'Ex ante LI &amp; Eligibility Stats'!$A$8:$M$8,0))/1000)</f>
        <v>0</v>
      </c>
      <c r="S37" s="327">
        <f>Q37*(INDEX('Ex post LI &amp; Eligibility Stats'!$A:$N,MATCH($A37,'Ex post LI &amp; Eligibility Stats'!$A:$A,0),MATCH('Program MW '!R$28,'Ex post LI &amp; Eligibility Stats'!$A$8:$N$8,0))/1000)</f>
        <v>0</v>
      </c>
      <c r="T37" s="4"/>
    </row>
    <row r="38" spans="1:26">
      <c r="A38" s="271" t="s">
        <v>21</v>
      </c>
      <c r="B38" s="383">
        <v>9340</v>
      </c>
      <c r="C38" s="326">
        <f>B38*(INDEX('Ex ante LI &amp; Eligibility Stats'!$A:$M,MATCH('Program MW '!$A38,'Ex ante LI &amp; Eligibility Stats'!$A:$A,0),MATCH('Program MW '!C$28,'Ex ante LI &amp; Eligibility Stats'!$A$8:$M$8,0))/1000)</f>
        <v>1.2445325839999999</v>
      </c>
      <c r="D38" s="327">
        <f>B38*(INDEX('Ex post LI &amp; Eligibility Stats'!$A:$N,MATCH($A38,'Ex post LI &amp; Eligibility Stats'!$A:$A,0),MATCH('Program MW '!C$28,'Ex post LI &amp; Eligibility Stats'!$A$8:$N$8,0))/1000)</f>
        <v>1.2528573260000002</v>
      </c>
      <c r="E38" s="383">
        <v>0</v>
      </c>
      <c r="F38" s="326">
        <f>E38*(INDEX('Ex ante LI &amp; Eligibility Stats'!$A:$M,MATCH('Program MW '!$A38,'Ex ante LI &amp; Eligibility Stats'!$A:$A,0),MATCH('Program MW '!F$28,'Ex ante LI &amp; Eligibility Stats'!$A$8:$M$8,0))/1000)</f>
        <v>0</v>
      </c>
      <c r="G38" s="327">
        <f>E38*(INDEX('Ex post LI &amp; Eligibility Stats'!$A:$N,MATCH($A38,'Ex post LI &amp; Eligibility Stats'!$A:$A,0),MATCH('Program MW '!F$28,'Ex post LI &amp; Eligibility Stats'!$A$8:$N$8,0))/1000)</f>
        <v>0</v>
      </c>
      <c r="H38" s="383">
        <v>0</v>
      </c>
      <c r="I38" s="326">
        <f>H38*(INDEX('Ex ante LI &amp; Eligibility Stats'!$A:$M,MATCH('Program MW '!$A38,'Ex ante LI &amp; Eligibility Stats'!$A:$A,0),MATCH('Program MW '!I$28,'Ex ante LI &amp; Eligibility Stats'!$A$8:$M$8,0))/1000)</f>
        <v>0</v>
      </c>
      <c r="J38" s="327">
        <f>H38*(INDEX('Ex post LI &amp; Eligibility Stats'!$A:$N,MATCH($A38,'Ex post LI &amp; Eligibility Stats'!$A:$A,0),MATCH('Program MW '!I$28,'Ex post LI &amp; Eligibility Stats'!$A$8:$N$8,0))/1000)</f>
        <v>0</v>
      </c>
      <c r="K38" s="383">
        <v>0</v>
      </c>
      <c r="L38" s="326">
        <f>K38*(INDEX('Ex ante LI &amp; Eligibility Stats'!$A:$M,MATCH('Program MW '!$A38,'Ex ante LI &amp; Eligibility Stats'!$A:$A,0),MATCH('Program MW '!L$28,'Ex ante LI &amp; Eligibility Stats'!$A$8:$M$8,0))/1000)</f>
        <v>0</v>
      </c>
      <c r="M38" s="327">
        <f>K38*(INDEX('Ex post LI &amp; Eligibility Stats'!$A:$N,MATCH($A38,'Ex post LI &amp; Eligibility Stats'!$A:$A,0),MATCH('Program MW '!L$28,'Ex post LI &amp; Eligibility Stats'!$A$8:$N$8,0))/1000)</f>
        <v>0</v>
      </c>
      <c r="N38" s="383">
        <v>0</v>
      </c>
      <c r="O38" s="326">
        <f>N38*(INDEX('Ex ante LI &amp; Eligibility Stats'!$A:$M,MATCH('Program MW '!$A38,'Ex ante LI &amp; Eligibility Stats'!$A:$A,0),MATCH('Program MW '!O$28,'Ex ante LI &amp; Eligibility Stats'!$A$8:$M$8,0))/1000)</f>
        <v>0</v>
      </c>
      <c r="P38" s="327">
        <f>N38*(INDEX('Ex post LI &amp; Eligibility Stats'!$A:$N,MATCH($A38,'Ex post LI &amp; Eligibility Stats'!$A:$A,0),MATCH('Program MW '!O$28,'Ex post LI &amp; Eligibility Stats'!$A$8:$N$8,0))/1000)</f>
        <v>0</v>
      </c>
      <c r="Q38" s="383">
        <v>0</v>
      </c>
      <c r="R38" s="326">
        <f>Q38*(INDEX('Ex ante LI &amp; Eligibility Stats'!$A:$M,MATCH('Program MW '!$A38,'Ex ante LI &amp; Eligibility Stats'!$A:$A,0),MATCH('Program MW '!R$28,'Ex ante LI &amp; Eligibility Stats'!$A$8:$M$8,0))/1000)</f>
        <v>0</v>
      </c>
      <c r="S38" s="327">
        <f>Q38*(INDEX('Ex post LI &amp; Eligibility Stats'!$A:$N,MATCH($A38,'Ex post LI &amp; Eligibility Stats'!$A:$A,0),MATCH('Program MW '!R$28,'Ex post LI &amp; Eligibility Stats'!$A$8:$N$8,0))/1000)</f>
        <v>0</v>
      </c>
      <c r="T38" s="4">
        <v>157189</v>
      </c>
    </row>
    <row r="39" spans="1:26">
      <c r="A39" s="271" t="s">
        <v>23</v>
      </c>
      <c r="B39" s="383">
        <v>2705</v>
      </c>
      <c r="C39" s="326">
        <f>B39*(INDEX('Ex ante LI &amp; Eligibility Stats'!$A:$M,MATCH('Program MW '!$A39,'Ex ante LI &amp; Eligibility Stats'!$A:$A,0),MATCH('Program MW '!C$28,'Ex ante LI &amp; Eligibility Stats'!$A$8:$M$8,0))/1000)</f>
        <v>0.21937090149999999</v>
      </c>
      <c r="D39" s="327">
        <f>B39*(INDEX('Ex post LI &amp; Eligibility Stats'!$A:$N,MATCH($A39,'Ex post LI &amp; Eligibility Stats'!$A:$A,0),MATCH('Program MW '!C$28,'Ex post LI &amp; Eligibility Stats'!$A$8:$N$8,0))/1000)</f>
        <v>0.13347633149999999</v>
      </c>
      <c r="E39" s="383">
        <v>0</v>
      </c>
      <c r="F39" s="326">
        <f>E39*(INDEX('Ex ante LI &amp; Eligibility Stats'!$A:$M,MATCH('Program MW '!$A39,'Ex ante LI &amp; Eligibility Stats'!$A:$A,0),MATCH('Program MW '!F$28,'Ex ante LI &amp; Eligibility Stats'!$A$8:$M$8,0))/1000)</f>
        <v>0</v>
      </c>
      <c r="G39" s="327">
        <f>E39*(INDEX('Ex post LI &amp; Eligibility Stats'!$A:$N,MATCH($A39,'Ex post LI &amp; Eligibility Stats'!$A:$A,0),MATCH('Program MW '!F$28,'Ex post LI &amp; Eligibility Stats'!$A$8:$N$8,0))/1000)</f>
        <v>0</v>
      </c>
      <c r="H39" s="383">
        <v>0</v>
      </c>
      <c r="I39" s="326">
        <f>H39*(INDEX('Ex ante LI &amp; Eligibility Stats'!$A:$M,MATCH('Program MW '!$A39,'Ex ante LI &amp; Eligibility Stats'!$A:$A,0),MATCH('Program MW '!I$28,'Ex ante LI &amp; Eligibility Stats'!$A$8:$M$8,0))/1000)</f>
        <v>0</v>
      </c>
      <c r="J39" s="327">
        <f>H39*(INDEX('Ex post LI &amp; Eligibility Stats'!$A:$N,MATCH($A39,'Ex post LI &amp; Eligibility Stats'!$A:$A,0),MATCH('Program MW '!I$28,'Ex post LI &amp; Eligibility Stats'!$A$8:$N$8,0))/1000)</f>
        <v>0</v>
      </c>
      <c r="K39" s="383">
        <v>0</v>
      </c>
      <c r="L39" s="326">
        <f>K39*(INDEX('Ex ante LI &amp; Eligibility Stats'!$A:$M,MATCH('Program MW '!$A39,'Ex ante LI &amp; Eligibility Stats'!$A:$A,0),MATCH('Program MW '!L$28,'Ex ante LI &amp; Eligibility Stats'!$A$8:$M$8,0))/1000)</f>
        <v>0</v>
      </c>
      <c r="M39" s="327">
        <f>K39*(INDEX('Ex post LI &amp; Eligibility Stats'!$A:$N,MATCH($A39,'Ex post LI &amp; Eligibility Stats'!$A:$A,0),MATCH('Program MW '!L$28,'Ex post LI &amp; Eligibility Stats'!$A$8:$N$8,0))/1000)</f>
        <v>0</v>
      </c>
      <c r="N39" s="383">
        <v>0</v>
      </c>
      <c r="O39" s="326">
        <f>N39*(INDEX('Ex ante LI &amp; Eligibility Stats'!$A:$M,MATCH('Program MW '!$A39,'Ex ante LI &amp; Eligibility Stats'!$A:$A,0),MATCH('Program MW '!O$28,'Ex ante LI &amp; Eligibility Stats'!$A$8:$M$8,0))/1000)</f>
        <v>0</v>
      </c>
      <c r="P39" s="327">
        <f>N39*(INDEX('Ex post LI &amp; Eligibility Stats'!$A:$N,MATCH($A39,'Ex post LI &amp; Eligibility Stats'!$A:$A,0),MATCH('Program MW '!O$28,'Ex post LI &amp; Eligibility Stats'!$A$8:$N$8,0))/1000)</f>
        <v>0</v>
      </c>
      <c r="Q39" s="383">
        <v>0</v>
      </c>
      <c r="R39" s="326">
        <f>Q39*(INDEX('Ex ante LI &amp; Eligibility Stats'!$A:$M,MATCH('Program MW '!$A39,'Ex ante LI &amp; Eligibility Stats'!$A:$A,0),MATCH('Program MW '!R$28,'Ex ante LI &amp; Eligibility Stats'!$A$8:$M$8,0))/1000)</f>
        <v>0</v>
      </c>
      <c r="S39" s="327">
        <f>Q39*(INDEX('Ex post LI &amp; Eligibility Stats'!$A:$N,MATCH($A39,'Ex post LI &amp; Eligibility Stats'!$A:$A,0),MATCH('Program MW '!R$28,'Ex post LI &amp; Eligibility Stats'!$A$8:$N$8,0))/1000)</f>
        <v>0</v>
      </c>
      <c r="T39" s="4">
        <v>157189</v>
      </c>
    </row>
    <row r="40" spans="1:26">
      <c r="A40" s="85" t="s">
        <v>24</v>
      </c>
      <c r="B40" s="159">
        <v>35</v>
      </c>
      <c r="C40" s="326">
        <f>B40*(INDEX('Ex ante LI &amp; Eligibility Stats'!$A:$M,MATCH('Program MW '!$A40,'Ex ante LI &amp; Eligibility Stats'!$A:$A,0),MATCH('Program MW '!C$28,'Ex ante LI &amp; Eligibility Stats'!$A$8:$M$8,0))/1000)</f>
        <v>0.41388164999999999</v>
      </c>
      <c r="D40" s="327">
        <f>B40*(INDEX('Ex post LI &amp; Eligibility Stats'!$A:$N,MATCH($A40,'Ex post LI &amp; Eligibility Stats'!$A:$A,0),MATCH('Program MW '!C$28,'Ex post LI &amp; Eligibility Stats'!$A$8:$N$8,0))/1000)</f>
        <v>0.6283662000000001</v>
      </c>
      <c r="E40" s="159">
        <v>0</v>
      </c>
      <c r="F40" s="326">
        <f>E40*(INDEX('Ex ante LI &amp; Eligibility Stats'!$A:$M,MATCH('Program MW '!$A40,'Ex ante LI &amp; Eligibility Stats'!$A:$A,0),MATCH('Program MW '!F$28,'Ex ante LI &amp; Eligibility Stats'!$A$8:$M$8,0))/1000)</f>
        <v>0</v>
      </c>
      <c r="G40" s="327">
        <f>E40*(INDEX('Ex post LI &amp; Eligibility Stats'!$A:$N,MATCH($A40,'Ex post LI &amp; Eligibility Stats'!$A:$A,0),MATCH('Program MW '!F$28,'Ex post LI &amp; Eligibility Stats'!$A$8:$N$8,0))/1000)</f>
        <v>0</v>
      </c>
      <c r="H40" s="159">
        <v>0</v>
      </c>
      <c r="I40" s="326">
        <f>H40*(INDEX('Ex ante LI &amp; Eligibility Stats'!$A:$M,MATCH('Program MW '!$A40,'Ex ante LI &amp; Eligibility Stats'!$A:$A,0),MATCH('Program MW '!I$28,'Ex ante LI &amp; Eligibility Stats'!$A$8:$M$8,0))/1000)</f>
        <v>0</v>
      </c>
      <c r="J40" s="327">
        <f>H40*(INDEX('Ex post LI &amp; Eligibility Stats'!$A:$N,MATCH($A40,'Ex post LI &amp; Eligibility Stats'!$A:$A,0),MATCH('Program MW '!I$28,'Ex post LI &amp; Eligibility Stats'!$A$8:$N$8,0))/1000)</f>
        <v>0</v>
      </c>
      <c r="K40" s="159">
        <v>0</v>
      </c>
      <c r="L40" s="326">
        <f>K40*(INDEX('Ex ante LI &amp; Eligibility Stats'!$A:$M,MATCH('Program MW '!$A40,'Ex ante LI &amp; Eligibility Stats'!$A:$A,0),MATCH('Program MW '!L$28,'Ex ante LI &amp; Eligibility Stats'!$A$8:$M$8,0))/1000)</f>
        <v>0</v>
      </c>
      <c r="M40" s="327">
        <f>K40*(INDEX('Ex post LI &amp; Eligibility Stats'!$A:$N,MATCH($A40,'Ex post LI &amp; Eligibility Stats'!$A:$A,0),MATCH('Program MW '!L$28,'Ex post LI &amp; Eligibility Stats'!$A$8:$N$8,0))/1000)</f>
        <v>0</v>
      </c>
      <c r="N40" s="159">
        <v>0</v>
      </c>
      <c r="O40" s="326">
        <f>N40*(INDEX('Ex ante LI &amp; Eligibility Stats'!$A:$M,MATCH('Program MW '!$A40,'Ex ante LI &amp; Eligibility Stats'!$A:$A,0),MATCH('Program MW '!O$28,'Ex ante LI &amp; Eligibility Stats'!$A$8:$M$8,0))/1000)</f>
        <v>0</v>
      </c>
      <c r="P40" s="327">
        <f>N40*(INDEX('Ex post LI &amp; Eligibility Stats'!$A:$N,MATCH($A40,'Ex post LI &amp; Eligibility Stats'!$A:$A,0),MATCH('Program MW '!O$28,'Ex post LI &amp; Eligibility Stats'!$A$8:$N$8,0))/1000)</f>
        <v>0</v>
      </c>
      <c r="Q40" s="159">
        <v>0</v>
      </c>
      <c r="R40" s="326">
        <f>Q40*(INDEX('Ex ante LI &amp; Eligibility Stats'!$A:$M,MATCH('Program MW '!$A40,'Ex ante LI &amp; Eligibility Stats'!$A:$A,0),MATCH('Program MW '!R$28,'Ex ante LI &amp; Eligibility Stats'!$A$8:$M$8,0))/1000)</f>
        <v>0</v>
      </c>
      <c r="S40" s="327">
        <f>Q40*(INDEX('Ex post LI &amp; Eligibility Stats'!$A:$N,MATCH($A40,'Ex post LI &amp; Eligibility Stats'!$A:$A,0),MATCH('Program MW '!R$28,'Ex post LI &amp; Eligibility Stats'!$A$8:$N$8,0))/1000)</f>
        <v>0</v>
      </c>
      <c r="T40" s="4">
        <v>18875</v>
      </c>
      <c r="V40" s="406" t="s">
        <v>56</v>
      </c>
    </row>
    <row r="41" spans="1:26">
      <c r="A41" s="85" t="s">
        <v>25</v>
      </c>
      <c r="B41" s="159">
        <v>131</v>
      </c>
      <c r="C41" s="326">
        <f>B41*(INDEX('Ex ante LI &amp; Eligibility Stats'!$A:$M,MATCH('Program MW '!$A41,'Ex ante LI &amp; Eligibility Stats'!$A:$A,0),MATCH('Program MW '!C$28,'Ex ante LI &amp; Eligibility Stats'!$A$8:$M$8,0))/1000)</f>
        <v>1.186943447</v>
      </c>
      <c r="D41" s="327">
        <f>B41*(INDEX('Ex post LI &amp; Eligibility Stats'!$A:$N,MATCH($A41,'Ex post LI &amp; Eligibility Stats'!$A:$A,0),MATCH('Program MW '!C$28,'Ex post LI &amp; Eligibility Stats'!$A$8:$N$8,0))/1000)</f>
        <v>1.8079113499999999</v>
      </c>
      <c r="E41" s="159">
        <v>0</v>
      </c>
      <c r="F41" s="326">
        <f>E41*(INDEX('Ex ante LI &amp; Eligibility Stats'!$A:$M,MATCH('Program MW '!$A41,'Ex ante LI &amp; Eligibility Stats'!$A:$A,0),MATCH('Program MW '!F$28,'Ex ante LI &amp; Eligibility Stats'!$A$8:$M$8,0))/1000)</f>
        <v>0</v>
      </c>
      <c r="G41" s="327">
        <f>E41*(INDEX('Ex post LI &amp; Eligibility Stats'!$A:$N,MATCH($A41,'Ex post LI &amp; Eligibility Stats'!$A:$A,0),MATCH('Program MW '!F$28,'Ex post LI &amp; Eligibility Stats'!$A$8:$N$8,0))/1000)</f>
        <v>0</v>
      </c>
      <c r="H41" s="159">
        <v>0</v>
      </c>
      <c r="I41" s="326">
        <f>H41*(INDEX('Ex ante LI &amp; Eligibility Stats'!$A:$M,MATCH('Program MW '!$A41,'Ex ante LI &amp; Eligibility Stats'!$A:$A,0),MATCH('Program MW '!I$28,'Ex ante LI &amp; Eligibility Stats'!$A$8:$M$8,0))/1000)</f>
        <v>0</v>
      </c>
      <c r="J41" s="327">
        <f>H41*(INDEX('Ex post LI &amp; Eligibility Stats'!$A:$N,MATCH($A41,'Ex post LI &amp; Eligibility Stats'!$A:$A,0),MATCH('Program MW '!I$28,'Ex post LI &amp; Eligibility Stats'!$A$8:$N$8,0))/1000)</f>
        <v>0</v>
      </c>
      <c r="K41" s="159">
        <v>0</v>
      </c>
      <c r="L41" s="326">
        <f>K41*(INDEX('Ex ante LI &amp; Eligibility Stats'!$A:$M,MATCH('Program MW '!$A41,'Ex ante LI &amp; Eligibility Stats'!$A:$A,0),MATCH('Program MW '!L$28,'Ex ante LI &amp; Eligibility Stats'!$A$8:$M$8,0))/1000)</f>
        <v>0</v>
      </c>
      <c r="M41" s="327">
        <f>K41*(INDEX('Ex post LI &amp; Eligibility Stats'!$A:$N,MATCH($A41,'Ex post LI &amp; Eligibility Stats'!$A:$A,0),MATCH('Program MW '!L$28,'Ex post LI &amp; Eligibility Stats'!$A$8:$N$8,0))/1000)</f>
        <v>0</v>
      </c>
      <c r="N41" s="159">
        <v>0</v>
      </c>
      <c r="O41" s="326">
        <f>N41*(INDEX('Ex ante LI &amp; Eligibility Stats'!$A:$M,MATCH('Program MW '!$A41,'Ex ante LI &amp; Eligibility Stats'!$A:$A,0),MATCH('Program MW '!O$28,'Ex ante LI &amp; Eligibility Stats'!$A$8:$M$8,0))/1000)</f>
        <v>0</v>
      </c>
      <c r="P41" s="327">
        <f>N41*(INDEX('Ex post LI &amp; Eligibility Stats'!$A:$N,MATCH($A41,'Ex post LI &amp; Eligibility Stats'!$A:$A,0),MATCH('Program MW '!O$28,'Ex post LI &amp; Eligibility Stats'!$A$8:$N$8,0))/1000)</f>
        <v>0</v>
      </c>
      <c r="Q41" s="159">
        <v>0</v>
      </c>
      <c r="R41" s="326">
        <f>Q41*(INDEX('Ex ante LI &amp; Eligibility Stats'!$A:$M,MATCH('Program MW '!$A41,'Ex ante LI &amp; Eligibility Stats'!$A:$A,0),MATCH('Program MW '!R$28,'Ex ante LI &amp; Eligibility Stats'!$A$8:$M$8,0))/1000)</f>
        <v>0</v>
      </c>
      <c r="S41" s="327">
        <f>Q41*(INDEX('Ex post LI &amp; Eligibility Stats'!$A:$N,MATCH($A41,'Ex post LI &amp; Eligibility Stats'!$A:$A,0),MATCH('Program MW '!R$28,'Ex post LI &amp; Eligibility Stats'!$A$8:$N$8,0))/1000)</f>
        <v>0</v>
      </c>
      <c r="T41" s="4">
        <v>18875</v>
      </c>
    </row>
    <row r="42" spans="1:26" s="152" customFormat="1">
      <c r="A42" s="271" t="s">
        <v>55</v>
      </c>
      <c r="B42" s="206">
        <v>95</v>
      </c>
      <c r="C42" s="326">
        <f>B42*(INDEX('Ex ante LI &amp; Eligibility Stats'!$A:$M,MATCH('Program MW '!$A42,'Ex ante LI &amp; Eligibility Stats'!$A:$A,0),MATCH('Program MW '!C$28,'Ex ante LI &amp; Eligibility Stats'!$A$8:$M$8,0))/1000)</f>
        <v>0</v>
      </c>
      <c r="D42" s="327">
        <f>B42*(INDEX('Ex post LI &amp; Eligibility Stats'!$A:$N,MATCH($A42,'Ex post LI &amp; Eligibility Stats'!$A:$A,0),MATCH('Program MW '!C$28,'Ex post LI &amp; Eligibility Stats'!$A$8:$N$8,0))/1000)</f>
        <v>4.5078440010547637E-2</v>
      </c>
      <c r="E42" s="206">
        <v>0</v>
      </c>
      <c r="F42" s="326">
        <f>E42*(INDEX('Ex ante LI &amp; Eligibility Stats'!$A:$M,MATCH('Program MW '!$A42,'Ex ante LI &amp; Eligibility Stats'!$A:$A,0),MATCH('Program MW '!F$28,'Ex ante LI &amp; Eligibility Stats'!$A$8:$M$8,0))/1000)</f>
        <v>0</v>
      </c>
      <c r="G42" s="327">
        <f>E42*(INDEX('Ex post LI &amp; Eligibility Stats'!$A:$N,MATCH($A42,'Ex post LI &amp; Eligibility Stats'!$A:$A,0),MATCH('Program MW '!F$28,'Ex post LI &amp; Eligibility Stats'!$A$8:$N$8,0))/1000)</f>
        <v>0</v>
      </c>
      <c r="H42" s="206">
        <v>0</v>
      </c>
      <c r="I42" s="326">
        <f>H42*(INDEX('Ex ante LI &amp; Eligibility Stats'!$A:$M,MATCH('Program MW '!$A42,'Ex ante LI &amp; Eligibility Stats'!$A:$A,0),MATCH('Program MW '!I$28,'Ex ante LI &amp; Eligibility Stats'!$A$8:$M$8,0))/1000)</f>
        <v>0</v>
      </c>
      <c r="J42" s="327">
        <f>H42*(INDEX('Ex post LI &amp; Eligibility Stats'!$A:$N,MATCH($A42,'Ex post LI &amp; Eligibility Stats'!$A:$A,0),MATCH('Program MW '!I$28,'Ex post LI &amp; Eligibility Stats'!$A$8:$N$8,0))/1000)</f>
        <v>0</v>
      </c>
      <c r="K42" s="206">
        <v>0</v>
      </c>
      <c r="L42" s="326">
        <f>K42*(INDEX('Ex ante LI &amp; Eligibility Stats'!$A:$M,MATCH('Program MW '!$A42,'Ex ante LI &amp; Eligibility Stats'!$A:$A,0),MATCH('Program MW '!L$28,'Ex ante LI &amp; Eligibility Stats'!$A$8:$M$8,0))/1000)</f>
        <v>0</v>
      </c>
      <c r="M42" s="327">
        <f>K42*(INDEX('Ex post LI &amp; Eligibility Stats'!$A:$N,MATCH($A42,'Ex post LI &amp; Eligibility Stats'!$A:$A,0),MATCH('Program MW '!L$28,'Ex post LI &amp; Eligibility Stats'!$A$8:$N$8,0))/1000)</f>
        <v>0</v>
      </c>
      <c r="N42" s="206">
        <v>0</v>
      </c>
      <c r="O42" s="326">
        <f>N42*(INDEX('Ex ante LI &amp; Eligibility Stats'!$A:$M,MATCH('Program MW '!$A42,'Ex ante LI &amp; Eligibility Stats'!$A:$A,0),MATCH('Program MW '!O$28,'Ex ante LI &amp; Eligibility Stats'!$A$8:$M$8,0))/1000)</f>
        <v>0</v>
      </c>
      <c r="P42" s="327">
        <f>N42*(INDEX('Ex post LI &amp; Eligibility Stats'!$A:$N,MATCH($A42,'Ex post LI &amp; Eligibility Stats'!$A:$A,0),MATCH('Program MW '!O$28,'Ex post LI &amp; Eligibility Stats'!$A$8:$N$8,0))/1000)</f>
        <v>0</v>
      </c>
      <c r="Q42" s="206">
        <v>0</v>
      </c>
      <c r="R42" s="326">
        <f>Q42*(INDEX('Ex ante LI &amp; Eligibility Stats'!$A:$M,MATCH('Program MW '!$A42,'Ex ante LI &amp; Eligibility Stats'!$A:$A,0),MATCH('Program MW '!R$28,'Ex ante LI &amp; Eligibility Stats'!$A$8:$M$8,0))/1000)</f>
        <v>0</v>
      </c>
      <c r="S42" s="327">
        <f>Q42*(INDEX('Ex post LI &amp; Eligibility Stats'!$A:$N,MATCH($A42,'Ex post LI &amp; Eligibility Stats'!$A:$A,0),MATCH('Program MW '!R$28,'Ex post LI &amp; Eligibility Stats'!$A$8:$N$8,0))/1000)</f>
        <v>0</v>
      </c>
      <c r="T42" s="411"/>
    </row>
    <row r="43" spans="1:26">
      <c r="A43" s="85" t="s">
        <v>26</v>
      </c>
      <c r="B43" s="159">
        <v>62705</v>
      </c>
      <c r="C43" s="326">
        <f>B43*(INDEX('Ex ante LI &amp; Eligibility Stats'!$A:$M,MATCH('Program MW '!$A43,'Ex ante LI &amp; Eligibility Stats'!$A:$A,0),MATCH('Program MW '!C$28,'Ex ante LI &amp; Eligibility Stats'!$A$8:$M$8,0))/1000)</f>
        <v>0.13718643118937368</v>
      </c>
      <c r="D43" s="327">
        <f>B43*(INDEX('Ex post LI &amp; Eligibility Stats'!$A:$N,MATCH($A43,'Ex post LI &amp; Eligibility Stats'!$A:$A,0),MATCH('Program MW '!C$28,'Ex post LI &amp; Eligibility Stats'!$A$8:$N$8,0))/1000)</f>
        <v>3.1330050788902919</v>
      </c>
      <c r="E43" s="159">
        <v>0</v>
      </c>
      <c r="F43" s="326">
        <f>E43*(INDEX('Ex ante LI &amp; Eligibility Stats'!$A:$M,MATCH('Program MW '!$A43,'Ex ante LI &amp; Eligibility Stats'!$A:$A,0),MATCH('Program MW '!F$28,'Ex ante LI &amp; Eligibility Stats'!$A$8:$M$8,0))/1000)</f>
        <v>0</v>
      </c>
      <c r="G43" s="327">
        <f>E43*(INDEX('Ex post LI &amp; Eligibility Stats'!$A:$N,MATCH($A43,'Ex post LI &amp; Eligibility Stats'!$A:$A,0),MATCH('Program MW '!F$28,'Ex post LI &amp; Eligibility Stats'!$A$8:$N$8,0))/1000)</f>
        <v>0</v>
      </c>
      <c r="H43" s="159">
        <v>0</v>
      </c>
      <c r="I43" s="326">
        <f>H43*(INDEX('Ex ante LI &amp; Eligibility Stats'!$A:$M,MATCH('Program MW '!$A43,'Ex ante LI &amp; Eligibility Stats'!$A:$A,0),MATCH('Program MW '!I$28,'Ex ante LI &amp; Eligibility Stats'!$A$8:$M$8,0))/1000)</f>
        <v>0</v>
      </c>
      <c r="J43" s="327">
        <f>H43*(INDEX('Ex post LI &amp; Eligibility Stats'!$A:$N,MATCH($A43,'Ex post LI &amp; Eligibility Stats'!$A:$A,0),MATCH('Program MW '!I$28,'Ex post LI &amp; Eligibility Stats'!$A$8:$N$8,0))/1000)</f>
        <v>0</v>
      </c>
      <c r="K43" s="159">
        <v>0</v>
      </c>
      <c r="L43" s="326">
        <f>K43*(INDEX('Ex ante LI &amp; Eligibility Stats'!$A:$M,MATCH('Program MW '!$A43,'Ex ante LI &amp; Eligibility Stats'!$A:$A,0),MATCH('Program MW '!L$28,'Ex ante LI &amp; Eligibility Stats'!$A$8:$M$8,0))/1000)</f>
        <v>0</v>
      </c>
      <c r="M43" s="327">
        <f>K43*(INDEX('Ex post LI &amp; Eligibility Stats'!$A:$N,MATCH($A43,'Ex post LI &amp; Eligibility Stats'!$A:$A,0),MATCH('Program MW '!L$28,'Ex post LI &amp; Eligibility Stats'!$A$8:$N$8,0))/1000)</f>
        <v>0</v>
      </c>
      <c r="N43" s="159">
        <v>0</v>
      </c>
      <c r="O43" s="326">
        <f>N43*(INDEX('Ex ante LI &amp; Eligibility Stats'!$A:$M,MATCH('Program MW '!$A43,'Ex ante LI &amp; Eligibility Stats'!$A:$A,0),MATCH('Program MW '!O$28,'Ex ante LI &amp; Eligibility Stats'!$A$8:$M$8,0))/1000)</f>
        <v>0</v>
      </c>
      <c r="P43" s="327">
        <f>N43*(INDEX('Ex post LI &amp; Eligibility Stats'!$A:$N,MATCH($A43,'Ex post LI &amp; Eligibility Stats'!$A:$A,0),MATCH('Program MW '!O$28,'Ex post LI &amp; Eligibility Stats'!$A$8:$N$8,0))/1000)</f>
        <v>0</v>
      </c>
      <c r="Q43" s="159">
        <v>0</v>
      </c>
      <c r="R43" s="326">
        <f>Q43*(INDEX('Ex ante LI &amp; Eligibility Stats'!$A:$M,MATCH('Program MW '!$A43,'Ex ante LI &amp; Eligibility Stats'!$A:$A,0),MATCH('Program MW '!R$28,'Ex ante LI &amp; Eligibility Stats'!$A$8:$M$8,0))/1000)</f>
        <v>0</v>
      </c>
      <c r="S43" s="327">
        <f>Q43*(INDEX('Ex post LI &amp; Eligibility Stats'!$A:$N,MATCH($A43,'Ex post LI &amp; Eligibility Stats'!$A:$A,0),MATCH('Program MW '!R$28,'Ex post LI &amp; Eligibility Stats'!$A$8:$N$8,0))/1000)</f>
        <v>0</v>
      </c>
      <c r="T43" s="4"/>
    </row>
    <row r="44" spans="1:26">
      <c r="A44" s="42" t="s">
        <v>27</v>
      </c>
      <c r="B44" s="269">
        <v>21149</v>
      </c>
      <c r="C44" s="326">
        <f>B44*(INDEX('Ex ante LI &amp; Eligibility Stats'!$A:$M,MATCH('Program MW '!$A44,'Ex ante LI &amp; Eligibility Stats'!$A:$A,0),MATCH('Program MW '!C$28,'Ex ante LI &amp; Eligibility Stats'!$A$8:$M$8,0))/1000)</f>
        <v>1.8182098268599642</v>
      </c>
      <c r="D44" s="327">
        <f>B44*(INDEX('Ex post LI &amp; Eligibility Stats'!$A:$N,MATCH($A44,'Ex post LI &amp; Eligibility Stats'!$A:$A,0),MATCH('Program MW '!C$28,'Ex post LI &amp; Eligibility Stats'!$A$8:$N$8,0))/1000)</f>
        <v>3.5342182453142823</v>
      </c>
      <c r="E44" s="269">
        <v>0</v>
      </c>
      <c r="F44" s="326">
        <f>E44*(INDEX('Ex ante LI &amp; Eligibility Stats'!$A:$M,MATCH('Program MW '!$A44,'Ex ante LI &amp; Eligibility Stats'!$A:$A,0),MATCH('Program MW '!F$28,'Ex ante LI &amp; Eligibility Stats'!$A$8:$M$8,0))/1000)</f>
        <v>0</v>
      </c>
      <c r="G44" s="327">
        <f>E44*(INDEX('Ex post LI &amp; Eligibility Stats'!$A:$N,MATCH($A44,'Ex post LI &amp; Eligibility Stats'!$A:$A,0),MATCH('Program MW '!F$28,'Ex post LI &amp; Eligibility Stats'!$A$8:$N$8,0))/1000)</f>
        <v>0</v>
      </c>
      <c r="H44" s="269">
        <v>0</v>
      </c>
      <c r="I44" s="326">
        <f>H44*(INDEX('Ex ante LI &amp; Eligibility Stats'!$A:$M,MATCH('Program MW '!$A44,'Ex ante LI &amp; Eligibility Stats'!$A:$A,0),MATCH('Program MW '!I$28,'Ex ante LI &amp; Eligibility Stats'!$A$8:$M$8,0))/1000)</f>
        <v>0</v>
      </c>
      <c r="J44" s="327">
        <f>H44*(INDEX('Ex post LI &amp; Eligibility Stats'!$A:$N,MATCH($A44,'Ex post LI &amp; Eligibility Stats'!$A:$A,0),MATCH('Program MW '!I$28,'Ex post LI &amp; Eligibility Stats'!$A$8:$N$8,0))/1000)</f>
        <v>0</v>
      </c>
      <c r="K44" s="269">
        <v>0</v>
      </c>
      <c r="L44" s="326">
        <f>K44*(INDEX('Ex ante LI &amp; Eligibility Stats'!$A:$M,MATCH('Program MW '!$A44,'Ex ante LI &amp; Eligibility Stats'!$A:$A,0),MATCH('Program MW '!L$28,'Ex ante LI &amp; Eligibility Stats'!$A$8:$M$8,0))/1000)</f>
        <v>0</v>
      </c>
      <c r="M44" s="327">
        <f>K44*(INDEX('Ex post LI &amp; Eligibility Stats'!$A:$N,MATCH($A44,'Ex post LI &amp; Eligibility Stats'!$A:$A,0),MATCH('Program MW '!L$28,'Ex post LI &amp; Eligibility Stats'!$A$8:$N$8,0))/1000)</f>
        <v>0</v>
      </c>
      <c r="N44" s="269">
        <v>0</v>
      </c>
      <c r="O44" s="326">
        <f>N44*(INDEX('Ex ante LI &amp; Eligibility Stats'!$A:$M,MATCH('Program MW '!$A44,'Ex ante LI &amp; Eligibility Stats'!$A:$A,0),MATCH('Program MW '!O$28,'Ex ante LI &amp; Eligibility Stats'!$A$8:$M$8,0))/1000)</f>
        <v>0</v>
      </c>
      <c r="P44" s="327">
        <f>N44*(INDEX('Ex post LI &amp; Eligibility Stats'!$A:$N,MATCH($A44,'Ex post LI &amp; Eligibility Stats'!$A:$A,0),MATCH('Program MW '!O$28,'Ex post LI &amp; Eligibility Stats'!$A$8:$N$8,0))/1000)</f>
        <v>0</v>
      </c>
      <c r="Q44" s="269">
        <v>0</v>
      </c>
      <c r="R44" s="326">
        <f>Q44*(INDEX('Ex ante LI &amp; Eligibility Stats'!$A:$M,MATCH('Program MW '!$A44,'Ex ante LI &amp; Eligibility Stats'!$A:$A,0),MATCH('Program MW '!R$28,'Ex ante LI &amp; Eligibility Stats'!$A$8:$M$8,0))/1000)</f>
        <v>0</v>
      </c>
      <c r="S44" s="327">
        <f>Q44*(INDEX('Ex post LI &amp; Eligibility Stats'!$A:$N,MATCH($A44,'Ex post LI &amp; Eligibility Stats'!$A:$A,0),MATCH('Program MW '!R$28,'Ex post LI &amp; Eligibility Stats'!$A$8:$N$8,0))/1000)</f>
        <v>0</v>
      </c>
      <c r="T44" s="4"/>
    </row>
    <row r="45" spans="1:26" ht="13.5" thickBot="1">
      <c r="A45" s="184" t="s">
        <v>57</v>
      </c>
      <c r="B45" s="3">
        <f t="shared" ref="B45:S45" si="11">SUM(B34:B44)</f>
        <v>117170</v>
      </c>
      <c r="C45" s="253">
        <f t="shared" si="11"/>
        <v>8.0243870196707121</v>
      </c>
      <c r="D45" s="234">
        <f t="shared" si="11"/>
        <v>17.935063245218839</v>
      </c>
      <c r="E45" s="3">
        <f t="shared" si="11"/>
        <v>0</v>
      </c>
      <c r="F45" s="253">
        <f t="shared" si="11"/>
        <v>0</v>
      </c>
      <c r="G45" s="234">
        <f t="shared" si="11"/>
        <v>0</v>
      </c>
      <c r="H45" s="3">
        <f t="shared" si="11"/>
        <v>0</v>
      </c>
      <c r="I45" s="253">
        <f t="shared" si="11"/>
        <v>0</v>
      </c>
      <c r="J45" s="234">
        <f t="shared" si="11"/>
        <v>0</v>
      </c>
      <c r="K45" s="3">
        <f t="shared" si="11"/>
        <v>0</v>
      </c>
      <c r="L45" s="253">
        <f t="shared" si="11"/>
        <v>0</v>
      </c>
      <c r="M45" s="234">
        <f t="shared" si="11"/>
        <v>0</v>
      </c>
      <c r="N45" s="3">
        <f t="shared" si="11"/>
        <v>0</v>
      </c>
      <c r="O45" s="253">
        <f t="shared" si="11"/>
        <v>0</v>
      </c>
      <c r="P45" s="234">
        <f t="shared" si="11"/>
        <v>0</v>
      </c>
      <c r="Q45" s="3">
        <f t="shared" si="11"/>
        <v>0</v>
      </c>
      <c r="R45" s="253">
        <f t="shared" si="11"/>
        <v>0</v>
      </c>
      <c r="S45" s="234">
        <f t="shared" si="11"/>
        <v>0</v>
      </c>
      <c r="T45" s="9"/>
    </row>
    <row r="46" spans="1:26" ht="14" thickTop="1" thickBot="1">
      <c r="A46" s="191" t="s">
        <v>58</v>
      </c>
      <c r="B46" s="2">
        <f t="shared" ref="B46:S46" si="12">+B32+B45</f>
        <v>117171</v>
      </c>
      <c r="C46" s="254">
        <f t="shared" si="12"/>
        <v>8.1838750262625091</v>
      </c>
      <c r="D46" s="233">
        <f t="shared" si="12"/>
        <v>18.04106324521884</v>
      </c>
      <c r="E46" s="2">
        <f t="shared" si="12"/>
        <v>0</v>
      </c>
      <c r="F46" s="254">
        <f t="shared" si="12"/>
        <v>0</v>
      </c>
      <c r="G46" s="233">
        <f t="shared" si="12"/>
        <v>0</v>
      </c>
      <c r="H46" s="2">
        <f t="shared" si="12"/>
        <v>0</v>
      </c>
      <c r="I46" s="254">
        <f t="shared" si="12"/>
        <v>0</v>
      </c>
      <c r="J46" s="233">
        <f t="shared" si="12"/>
        <v>0</v>
      </c>
      <c r="K46" s="2">
        <f t="shared" si="12"/>
        <v>0</v>
      </c>
      <c r="L46" s="254">
        <f t="shared" si="12"/>
        <v>0</v>
      </c>
      <c r="M46" s="233">
        <f t="shared" si="12"/>
        <v>0</v>
      </c>
      <c r="N46" s="2">
        <f t="shared" si="12"/>
        <v>0</v>
      </c>
      <c r="O46" s="254">
        <f t="shared" si="12"/>
        <v>0</v>
      </c>
      <c r="P46" s="233">
        <f t="shared" si="12"/>
        <v>0</v>
      </c>
      <c r="Q46" s="2">
        <f t="shared" si="12"/>
        <v>0</v>
      </c>
      <c r="R46" s="254">
        <f t="shared" si="12"/>
        <v>0</v>
      </c>
      <c r="S46" s="233">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4">
      <c r="A48" s="244" t="s">
        <v>63</v>
      </c>
      <c r="B48" s="192"/>
      <c r="C48" s="192"/>
      <c r="D48" s="192"/>
      <c r="E48" s="387"/>
      <c r="F48" s="193"/>
      <c r="G48" s="192"/>
      <c r="H48" s="193"/>
      <c r="I48" s="192"/>
      <c r="J48" s="192"/>
      <c r="K48" s="192"/>
      <c r="L48" s="192"/>
      <c r="M48" s="192"/>
      <c r="N48" s="192"/>
      <c r="O48" s="192"/>
      <c r="P48" s="194"/>
      <c r="Q48" s="192"/>
      <c r="R48" s="192"/>
      <c r="S48" s="192"/>
      <c r="T48" s="13"/>
      <c r="U48" s="13"/>
      <c r="V48" s="13"/>
      <c r="W48" s="13"/>
      <c r="X48" s="13"/>
      <c r="Y48" s="13"/>
      <c r="Z48" s="13"/>
    </row>
    <row r="49" spans="1:31" ht="29.65" customHeight="1">
      <c r="A49" s="720" t="s">
        <v>292</v>
      </c>
      <c r="B49" s="720"/>
      <c r="C49" s="720"/>
      <c r="D49" s="720"/>
      <c r="E49" s="720"/>
      <c r="F49" s="720"/>
      <c r="G49" s="720"/>
      <c r="H49" s="720"/>
      <c r="I49" s="720"/>
      <c r="J49" s="720"/>
      <c r="K49" s="720"/>
      <c r="L49" s="720"/>
      <c r="M49" s="720"/>
      <c r="N49" s="720"/>
      <c r="O49" s="720"/>
    </row>
    <row r="50" spans="1:31" ht="30.4" customHeight="1">
      <c r="A50" s="720" t="s">
        <v>293</v>
      </c>
      <c r="B50" s="720"/>
      <c r="C50" s="720"/>
      <c r="D50" s="720"/>
      <c r="E50" s="720"/>
      <c r="F50" s="720"/>
      <c r="G50" s="720"/>
      <c r="H50" s="720"/>
      <c r="I50" s="720"/>
      <c r="J50" s="720"/>
      <c r="K50" s="720"/>
      <c r="L50" s="720"/>
      <c r="M50" s="720"/>
      <c r="N50" s="720"/>
      <c r="O50" s="720"/>
      <c r="P50" s="13"/>
      <c r="Q50" s="13"/>
      <c r="R50" s="13"/>
      <c r="S50" s="13"/>
      <c r="T50" s="146"/>
      <c r="U50" s="146"/>
      <c r="V50" s="146"/>
      <c r="W50" s="146"/>
      <c r="X50" s="146"/>
      <c r="Y50" s="146"/>
      <c r="Z50" s="146"/>
    </row>
    <row r="51" spans="1:31" s="152" customFormat="1" ht="18" customHeight="1">
      <c r="A51" s="720" t="s">
        <v>248</v>
      </c>
      <c r="B51" s="720"/>
      <c r="C51" s="720"/>
      <c r="D51" s="720"/>
      <c r="E51" s="720"/>
      <c r="F51" s="720"/>
      <c r="G51" s="720"/>
      <c r="H51" s="720"/>
      <c r="I51" s="720"/>
      <c r="J51" s="720"/>
      <c r="K51" s="720"/>
      <c r="L51" s="720"/>
      <c r="M51" s="720"/>
      <c r="N51" s="720"/>
      <c r="O51" s="720"/>
      <c r="P51" s="384"/>
      <c r="Q51" s="384"/>
      <c r="R51" s="384"/>
      <c r="S51" s="384"/>
      <c r="T51" s="203"/>
      <c r="U51" s="203"/>
      <c r="V51" s="203"/>
      <c r="W51" s="203"/>
      <c r="X51" s="203"/>
      <c r="Y51" s="203"/>
      <c r="Z51" s="203"/>
    </row>
    <row r="52" spans="1:31" s="152" customFormat="1" ht="18" customHeight="1">
      <c r="A52" s="720" t="s">
        <v>274</v>
      </c>
      <c r="B52" s="720"/>
      <c r="C52" s="720"/>
      <c r="D52" s="720"/>
      <c r="E52" s="720"/>
      <c r="F52" s="720"/>
      <c r="G52" s="720"/>
      <c r="H52" s="720"/>
      <c r="I52" s="720"/>
      <c r="J52" s="720"/>
      <c r="K52" s="720"/>
      <c r="L52" s="720"/>
      <c r="M52" s="720"/>
      <c r="N52" s="720"/>
      <c r="O52" s="720"/>
      <c r="P52" s="384"/>
      <c r="Q52" s="384"/>
      <c r="R52" s="384"/>
      <c r="S52" s="384"/>
      <c r="T52" s="203"/>
      <c r="U52" s="203"/>
      <c r="V52" s="203"/>
      <c r="W52" s="203"/>
      <c r="X52" s="203"/>
      <c r="Y52" s="203"/>
      <c r="Z52" s="203"/>
    </row>
    <row r="53" spans="1:31" s="152" customFormat="1" ht="13.9" customHeight="1">
      <c r="A53" s="720" t="s">
        <v>331</v>
      </c>
      <c r="B53" s="720"/>
      <c r="C53" s="720"/>
      <c r="D53" s="720"/>
      <c r="E53" s="720"/>
      <c r="F53" s="720"/>
      <c r="G53" s="720"/>
      <c r="H53" s="720"/>
      <c r="I53" s="720"/>
      <c r="J53" s="720"/>
      <c r="K53" s="720"/>
      <c r="L53" s="720"/>
      <c r="M53" s="720"/>
      <c r="N53" s="720"/>
      <c r="O53" s="633"/>
      <c r="P53" s="384"/>
      <c r="Q53" s="384"/>
      <c r="R53" s="384"/>
      <c r="S53" s="384"/>
      <c r="T53" s="203"/>
      <c r="U53" s="203"/>
      <c r="V53" s="203"/>
      <c r="W53" s="203"/>
      <c r="X53" s="203"/>
      <c r="Y53" s="203"/>
      <c r="Z53" s="203"/>
    </row>
    <row r="54" spans="1:31" ht="15.75" customHeight="1">
      <c r="A54" s="496" t="s">
        <v>298</v>
      </c>
      <c r="B54" s="643"/>
      <c r="C54" s="643"/>
      <c r="D54" s="643"/>
      <c r="E54" s="643"/>
      <c r="F54" s="643"/>
      <c r="G54" s="643"/>
      <c r="H54" s="643"/>
      <c r="I54" s="643"/>
      <c r="J54" s="643"/>
      <c r="K54" s="643"/>
      <c r="L54" s="643"/>
      <c r="M54" s="643"/>
      <c r="N54" s="643"/>
      <c r="O54" s="644"/>
    </row>
    <row r="55" spans="1:31" ht="14">
      <c r="A55" s="496" t="s">
        <v>330</v>
      </c>
      <c r="B55" s="643"/>
      <c r="C55" s="643"/>
      <c r="D55" s="643"/>
      <c r="E55" s="643"/>
      <c r="F55" s="643"/>
      <c r="G55" s="643"/>
      <c r="H55" s="643"/>
      <c r="I55" s="643"/>
      <c r="J55" s="643"/>
      <c r="K55" s="643"/>
      <c r="L55" s="643"/>
      <c r="M55" s="643"/>
      <c r="N55" s="643"/>
      <c r="O55" s="644"/>
    </row>
    <row r="56" spans="1:31" ht="14">
      <c r="A56" s="642" t="s">
        <v>335</v>
      </c>
      <c r="B56" s="643"/>
      <c r="C56" s="643"/>
      <c r="D56" s="643"/>
      <c r="E56" s="643"/>
      <c r="F56" s="643"/>
      <c r="G56" s="643"/>
      <c r="H56" s="643"/>
      <c r="I56" s="643"/>
      <c r="J56" s="643"/>
      <c r="K56" s="643"/>
      <c r="L56" s="643"/>
      <c r="M56" s="643"/>
      <c r="N56" s="643"/>
      <c r="O56" s="644"/>
    </row>
    <row r="57" spans="1:31" s="152" customFormat="1" ht="14">
      <c r="A57" s="719" t="s">
        <v>354</v>
      </c>
    </row>
    <row r="58" spans="1:31" s="152" customFormat="1" ht="14">
      <c r="A58" s="719" t="s">
        <v>355</v>
      </c>
    </row>
    <row r="59" spans="1:31" ht="14">
      <c r="A59" s="496" t="s">
        <v>364</v>
      </c>
      <c r="B59" s="643"/>
      <c r="C59" s="643"/>
      <c r="D59" s="643"/>
      <c r="E59" s="643"/>
      <c r="F59" s="643"/>
      <c r="G59" s="643"/>
      <c r="H59" s="643"/>
      <c r="I59" s="643"/>
      <c r="J59" s="643"/>
      <c r="K59" s="643"/>
      <c r="L59" s="643"/>
      <c r="M59" s="643"/>
      <c r="N59" s="643"/>
      <c r="O59" s="644"/>
      <c r="P59" s="718"/>
      <c r="Q59" s="718"/>
      <c r="R59" s="718"/>
      <c r="S59" s="718"/>
      <c r="T59" s="718"/>
      <c r="U59" s="718"/>
      <c r="V59" s="718"/>
      <c r="W59" s="718"/>
      <c r="X59" s="718"/>
      <c r="Y59" s="718"/>
      <c r="Z59" s="718"/>
      <c r="AA59" s="718"/>
      <c r="AB59" s="718"/>
      <c r="AC59" s="718"/>
      <c r="AD59" s="718"/>
      <c r="AE59" s="718"/>
    </row>
    <row r="60" spans="1:31" ht="14">
      <c r="A60" s="235" t="s">
        <v>64</v>
      </c>
    </row>
  </sheetData>
  <mergeCells count="5">
    <mergeCell ref="A49:O49"/>
    <mergeCell ref="A50:O50"/>
    <mergeCell ref="A51:O51"/>
    <mergeCell ref="A52:O52"/>
    <mergeCell ref="A53:N53"/>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7" zoomScaleNormal="100" zoomScaleSheetLayoutView="100" workbookViewId="0">
      <pane xSplit="1" ySplit="2" topLeftCell="B24" activePane="bottomRight" state="frozen"/>
      <selection activeCell="B55" sqref="B55"/>
      <selection pane="topRight" activeCell="B55" sqref="B55"/>
      <selection pane="bottomLeft" activeCell="B55" sqref="B55"/>
      <selection pane="bottomRight" activeCell="B55" sqref="B55"/>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3" customWidth="1"/>
    <col min="15" max="15" width="149.54296875" customWidth="1"/>
  </cols>
  <sheetData>
    <row r="2" spans="1:16" ht="13">
      <c r="A2" s="38"/>
      <c r="H2" s="148" t="s">
        <v>39</v>
      </c>
      <c r="N2" s="348"/>
    </row>
    <row r="3" spans="1:16" ht="13">
      <c r="E3" s="349"/>
      <c r="H3" s="151" t="str">
        <f>'Program MW '!H3</f>
        <v>July 2021</v>
      </c>
      <c r="N3" s="348"/>
    </row>
    <row r="4" spans="1:16">
      <c r="E4" s="150"/>
      <c r="F4" s="150"/>
      <c r="G4" s="150"/>
      <c r="I4" s="150"/>
      <c r="N4" s="348"/>
    </row>
    <row r="5" spans="1:16" ht="13">
      <c r="B5" s="150"/>
      <c r="C5" s="150"/>
      <c r="D5" s="150"/>
      <c r="F5" s="149"/>
      <c r="N5" s="348"/>
      <c r="O5" s="41"/>
    </row>
    <row r="6" spans="1:16" ht="13">
      <c r="F6" s="149"/>
      <c r="N6" s="348"/>
    </row>
    <row r="7" spans="1:16" ht="13.5" customHeight="1">
      <c r="A7" s="721" t="s">
        <v>65</v>
      </c>
      <c r="B7" s="722"/>
      <c r="C7" s="722"/>
      <c r="D7" s="722"/>
      <c r="E7" s="722"/>
      <c r="F7" s="722"/>
      <c r="G7" s="722"/>
      <c r="H7" s="722"/>
      <c r="I7" s="722"/>
      <c r="J7" s="722"/>
      <c r="K7" s="722"/>
      <c r="L7" s="722"/>
      <c r="M7" s="722"/>
      <c r="N7" s="723"/>
      <c r="O7" s="386"/>
    </row>
    <row r="8" spans="1:16" ht="38.2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0" t="s">
        <v>69</v>
      </c>
      <c r="O8" s="272" t="s">
        <v>70</v>
      </c>
    </row>
    <row r="9" spans="1:16" ht="75.75" customHeight="1">
      <c r="A9" s="423" t="s">
        <v>8</v>
      </c>
      <c r="B9" s="424">
        <v>147.93927001953125</v>
      </c>
      <c r="C9" s="424">
        <v>123.35836029052734</v>
      </c>
      <c r="D9" s="424">
        <v>154.17617797851563</v>
      </c>
      <c r="E9" s="424">
        <v>141.36283874511719</v>
      </c>
      <c r="F9" s="424">
        <v>137.30026245117188</v>
      </c>
      <c r="G9" s="424">
        <v>167.08448791503906</v>
      </c>
      <c r="H9" s="424">
        <v>159.48800659179688</v>
      </c>
      <c r="I9" s="424">
        <v>159.82838439941406</v>
      </c>
      <c r="J9" s="424">
        <v>182.0330810546875</v>
      </c>
      <c r="K9" s="424">
        <v>153.41392517089844</v>
      </c>
      <c r="L9" s="424">
        <v>178.67237854003906</v>
      </c>
      <c r="M9" s="424">
        <v>115.07282257080078</v>
      </c>
      <c r="N9" s="425">
        <v>5326</v>
      </c>
      <c r="O9" s="414" t="s">
        <v>244</v>
      </c>
      <c r="P9" s="424"/>
    </row>
    <row r="10" spans="1:16" ht="75.75" customHeight="1">
      <c r="A10" s="426" t="s">
        <v>11</v>
      </c>
      <c r="B10" s="427">
        <v>0.14000000000000001</v>
      </c>
      <c r="C10" s="427">
        <v>0.14000000000000001</v>
      </c>
      <c r="D10" s="424">
        <v>0</v>
      </c>
      <c r="E10" s="424">
        <v>0</v>
      </c>
      <c r="F10" s="424">
        <v>0</v>
      </c>
      <c r="G10" s="424">
        <v>0</v>
      </c>
      <c r="H10" s="424">
        <v>0</v>
      </c>
      <c r="I10" s="424">
        <v>0</v>
      </c>
      <c r="J10" s="424">
        <v>0</v>
      </c>
      <c r="K10" s="424">
        <v>0</v>
      </c>
      <c r="L10" s="424">
        <v>0</v>
      </c>
      <c r="M10" s="424">
        <v>0</v>
      </c>
      <c r="N10" s="428">
        <v>24298</v>
      </c>
      <c r="O10" s="414" t="s">
        <v>71</v>
      </c>
    </row>
    <row r="11" spans="1:16" ht="75.75" customHeight="1">
      <c r="A11" s="426" t="s">
        <v>17</v>
      </c>
      <c r="B11" s="427">
        <v>1.1249953786318656E-5</v>
      </c>
      <c r="C11" s="427">
        <v>2.6053535293613095E-6</v>
      </c>
      <c r="D11" s="424">
        <v>0</v>
      </c>
      <c r="E11" s="424">
        <v>3.6579277366399765E-2</v>
      </c>
      <c r="F11" s="424">
        <v>8.1266388297080994E-2</v>
      </c>
      <c r="G11" s="424">
        <v>5.1364414393901825E-2</v>
      </c>
      <c r="H11" s="424">
        <v>0.16627712547779083</v>
      </c>
      <c r="I11" s="424">
        <v>0.22152504324913025</v>
      </c>
      <c r="J11" s="424">
        <v>0.28739506006240845</v>
      </c>
      <c r="K11" s="424">
        <v>0.1512436717748642</v>
      </c>
      <c r="L11" s="424">
        <v>2.2867627441883087E-2</v>
      </c>
      <c r="M11" s="424">
        <v>0</v>
      </c>
      <c r="N11" s="429">
        <v>590220</v>
      </c>
      <c r="O11" s="414" t="s">
        <v>245</v>
      </c>
    </row>
    <row r="12" spans="1:16" ht="75.75" customHeight="1">
      <c r="A12" s="426" t="s">
        <v>20</v>
      </c>
      <c r="B12" s="427">
        <v>3.6358251236379147E-4</v>
      </c>
      <c r="C12" s="427">
        <v>8.4200954006519169E-5</v>
      </c>
      <c r="D12" s="424">
        <v>0</v>
      </c>
      <c r="E12" s="424">
        <v>0.3435758650302887</v>
      </c>
      <c r="F12" s="424">
        <v>0.92136132717132568</v>
      </c>
      <c r="G12" s="424">
        <v>0.85638010501861572</v>
      </c>
      <c r="H12" s="424">
        <v>2.0786657333374023</v>
      </c>
      <c r="I12" s="424">
        <v>3.0234215259552002</v>
      </c>
      <c r="J12" s="424">
        <v>2.5092508792877197</v>
      </c>
      <c r="K12" s="424">
        <v>2.084477424621582</v>
      </c>
      <c r="L12" s="424">
        <v>0.46237781643867493</v>
      </c>
      <c r="M12" s="424">
        <v>0</v>
      </c>
      <c r="N12" s="429">
        <v>133226</v>
      </c>
      <c r="O12" s="414" t="s">
        <v>72</v>
      </c>
    </row>
    <row r="13" spans="1:16" ht="75.75" customHeight="1">
      <c r="A13" s="426" t="s">
        <v>21</v>
      </c>
      <c r="B13" s="430">
        <v>0</v>
      </c>
      <c r="C13" s="430">
        <v>0</v>
      </c>
      <c r="D13" s="424">
        <v>0</v>
      </c>
      <c r="E13" s="424">
        <v>2.7623999999999999E-2</v>
      </c>
      <c r="F13" s="424">
        <v>5.7694599999999999E-2</v>
      </c>
      <c r="G13" s="424">
        <v>3.6857399999999998E-2</v>
      </c>
      <c r="H13" s="424">
        <v>0.13324759999999999</v>
      </c>
      <c r="I13" s="424">
        <v>0.19637180000000001</v>
      </c>
      <c r="J13" s="424">
        <v>0.24341650000000001</v>
      </c>
      <c r="K13" s="424">
        <v>0.12678610000000001</v>
      </c>
      <c r="L13" s="424">
        <v>0</v>
      </c>
      <c r="M13" s="424">
        <v>0</v>
      </c>
      <c r="N13" s="429">
        <v>590220</v>
      </c>
      <c r="O13" s="414" t="s">
        <v>246</v>
      </c>
    </row>
    <row r="14" spans="1:16" ht="75.75" customHeight="1">
      <c r="A14" s="426" t="s">
        <v>23</v>
      </c>
      <c r="B14" s="430">
        <v>0</v>
      </c>
      <c r="C14" s="430">
        <v>0</v>
      </c>
      <c r="D14" s="424">
        <v>0</v>
      </c>
      <c r="E14" s="424">
        <v>5.6296800000000001E-2</v>
      </c>
      <c r="F14" s="424">
        <v>6.4429500000000001E-2</v>
      </c>
      <c r="G14" s="424">
        <v>5.9807899999999997E-2</v>
      </c>
      <c r="H14" s="424">
        <v>8.1098299999999998E-2</v>
      </c>
      <c r="I14" s="424">
        <v>9.1515600000000003E-2</v>
      </c>
      <c r="J14" s="424">
        <v>0.1040353</v>
      </c>
      <c r="K14" s="424">
        <v>8.3492899999999995E-2</v>
      </c>
      <c r="L14" s="424">
        <v>0</v>
      </c>
      <c r="M14" s="424">
        <v>0</v>
      </c>
      <c r="N14" s="429">
        <v>133226</v>
      </c>
      <c r="O14" s="414" t="s">
        <v>247</v>
      </c>
    </row>
    <row r="15" spans="1:16" ht="75.75" customHeight="1">
      <c r="A15" s="426" t="s">
        <v>24</v>
      </c>
      <c r="B15" s="430">
        <v>0</v>
      </c>
      <c r="C15" s="430">
        <v>0</v>
      </c>
      <c r="D15" s="424">
        <v>0</v>
      </c>
      <c r="E15" s="424">
        <v>0</v>
      </c>
      <c r="F15" s="424">
        <v>11.825189999999999</v>
      </c>
      <c r="G15" s="424">
        <v>11.825189999999999</v>
      </c>
      <c r="H15" s="424">
        <v>11.825189999999999</v>
      </c>
      <c r="I15" s="424">
        <v>11.825189999999999</v>
      </c>
      <c r="J15" s="424">
        <v>11.825189999999999</v>
      </c>
      <c r="K15" s="424">
        <v>11.825189999999999</v>
      </c>
      <c r="L15" s="424">
        <v>0</v>
      </c>
      <c r="M15" s="424">
        <v>0</v>
      </c>
      <c r="N15" s="428">
        <v>78368</v>
      </c>
      <c r="O15" s="414" t="s">
        <v>73</v>
      </c>
    </row>
    <row r="16" spans="1:16" ht="75.75" customHeight="1">
      <c r="A16" s="426" t="s">
        <v>25</v>
      </c>
      <c r="B16" s="430">
        <v>0</v>
      </c>
      <c r="C16" s="430">
        <v>0</v>
      </c>
      <c r="D16" s="424">
        <v>0</v>
      </c>
      <c r="E16" s="424">
        <v>0</v>
      </c>
      <c r="F16" s="424">
        <v>9.0606369999999998</v>
      </c>
      <c r="G16" s="424">
        <v>9.0606369999999998</v>
      </c>
      <c r="H16" s="424">
        <v>9.0606369999999998</v>
      </c>
      <c r="I16" s="424">
        <v>9.0606369999999998</v>
      </c>
      <c r="J16" s="424">
        <v>9.0606369999999998</v>
      </c>
      <c r="K16" s="424">
        <v>9.0606369999999998</v>
      </c>
      <c r="L16" s="424">
        <v>0</v>
      </c>
      <c r="M16" s="424">
        <v>0</v>
      </c>
      <c r="N16" s="428">
        <v>78368</v>
      </c>
      <c r="O16" s="414" t="s">
        <v>73</v>
      </c>
    </row>
    <row r="17" spans="1:15" ht="75.75" customHeight="1">
      <c r="A17" s="426" t="s">
        <v>27</v>
      </c>
      <c r="B17" s="427">
        <v>3.8699023425579071E-2</v>
      </c>
      <c r="C17" s="427">
        <v>3.4362420439720154E-2</v>
      </c>
      <c r="D17" s="424">
        <v>4.2291874821189825E-2</v>
      </c>
      <c r="E17" s="424">
        <v>4.6052272182349342E-2</v>
      </c>
      <c r="F17" s="424">
        <v>9.885066047078217E-2</v>
      </c>
      <c r="G17" s="424">
        <v>7.4932532811322408E-2</v>
      </c>
      <c r="H17" s="424">
        <v>8.597143254338098E-2</v>
      </c>
      <c r="I17" s="424">
        <v>9.1918985532060252E-2</v>
      </c>
      <c r="J17" s="424">
        <v>0.10056453415944168</v>
      </c>
      <c r="K17" s="424">
        <v>9.3665201236999687E-2</v>
      </c>
      <c r="L17" s="424">
        <v>0.14194687939870335</v>
      </c>
      <c r="M17" s="424">
        <v>0.16120215621047654</v>
      </c>
      <c r="N17" s="428">
        <v>1292629</v>
      </c>
      <c r="O17" s="414" t="s">
        <v>74</v>
      </c>
    </row>
    <row r="18" spans="1:15" ht="160.5" customHeight="1">
      <c r="A18" s="498" t="s">
        <v>26</v>
      </c>
      <c r="B18" s="432">
        <v>0.01</v>
      </c>
      <c r="C18" s="432">
        <v>0.01</v>
      </c>
      <c r="D18" s="499">
        <v>1.04106768919839E-4</v>
      </c>
      <c r="E18" s="499">
        <v>7.3445614094823331E-4</v>
      </c>
      <c r="F18" s="499">
        <v>1.3674112203188298E-3</v>
      </c>
      <c r="G18" s="499">
        <v>8.7751531743847301E-4</v>
      </c>
      <c r="H18" s="499">
        <v>2.1878068924228323E-3</v>
      </c>
      <c r="I18" s="499">
        <v>3.1452219928486133E-3</v>
      </c>
      <c r="J18" s="499">
        <v>4.4619246315722007E-3</v>
      </c>
      <c r="K18" s="499">
        <v>2.8590413124677172E-3</v>
      </c>
      <c r="L18" s="499">
        <v>3.151220920205923E-4</v>
      </c>
      <c r="M18" s="499">
        <v>-7.7720472862196388E-5</v>
      </c>
      <c r="N18" s="500">
        <v>120672</v>
      </c>
      <c r="O18" s="501" t="s">
        <v>74</v>
      </c>
    </row>
    <row r="19" spans="1:15" ht="50">
      <c r="A19" s="423" t="s">
        <v>55</v>
      </c>
      <c r="B19" s="502">
        <v>7.0191817358136177E-3</v>
      </c>
      <c r="C19" s="502">
        <v>7.0191817358136177E-3</v>
      </c>
      <c r="D19" s="502">
        <v>8.5556581616401672E-3</v>
      </c>
      <c r="E19" s="502">
        <v>0</v>
      </c>
      <c r="F19" s="502">
        <v>0</v>
      </c>
      <c r="G19" s="502">
        <v>0</v>
      </c>
      <c r="H19" s="502">
        <v>0</v>
      </c>
      <c r="I19" s="502">
        <v>0</v>
      </c>
      <c r="J19" s="502">
        <v>0</v>
      </c>
      <c r="K19" s="502">
        <v>0</v>
      </c>
      <c r="L19" s="502">
        <v>0</v>
      </c>
      <c r="M19" s="502">
        <v>0</v>
      </c>
      <c r="N19" s="503">
        <v>2822</v>
      </c>
      <c r="O19" s="273" t="s">
        <v>75</v>
      </c>
    </row>
    <row r="20" spans="1:15" s="415" customFormat="1" ht="51" customHeight="1">
      <c r="A20" s="445"/>
      <c r="B20" s="446"/>
      <c r="C20" s="446"/>
      <c r="D20" s="446"/>
      <c r="E20" s="446"/>
      <c r="F20" s="446"/>
      <c r="G20" s="446"/>
      <c r="H20" s="446"/>
      <c r="I20" s="446"/>
      <c r="J20" s="446"/>
      <c r="K20" s="446"/>
      <c r="L20" s="446"/>
      <c r="M20" s="446"/>
      <c r="N20" s="447"/>
      <c r="O20" s="419"/>
    </row>
    <row r="21" spans="1:15">
      <c r="A21" s="445"/>
      <c r="B21" s="446"/>
      <c r="C21" s="446"/>
      <c r="D21" s="446"/>
      <c r="E21" s="446"/>
      <c r="F21" s="446"/>
      <c r="G21" s="446"/>
      <c r="H21" s="446"/>
      <c r="I21" s="446"/>
      <c r="J21" s="446"/>
      <c r="K21" s="446"/>
      <c r="L21" s="446"/>
      <c r="M21" s="446"/>
      <c r="N21" s="448"/>
      <c r="O21" s="419"/>
    </row>
    <row r="22" spans="1:15" ht="14">
      <c r="A22" s="245" t="s">
        <v>63</v>
      </c>
      <c r="B22" s="350"/>
      <c r="C22" s="350"/>
      <c r="D22" s="350"/>
      <c r="E22" s="350"/>
      <c r="F22" s="351"/>
      <c r="G22" s="350"/>
      <c r="H22" s="351"/>
      <c r="I22" s="350"/>
      <c r="J22" s="350"/>
      <c r="K22" s="350"/>
      <c r="L22" s="350"/>
      <c r="M22" s="350"/>
      <c r="N22" s="348"/>
      <c r="O22" s="350"/>
    </row>
    <row r="23" spans="1:15" ht="30.4" customHeight="1">
      <c r="A23" s="728" t="s">
        <v>290</v>
      </c>
      <c r="B23" s="728"/>
      <c r="C23" s="728"/>
      <c r="D23" s="728"/>
      <c r="E23" s="728"/>
      <c r="F23" s="728"/>
      <c r="G23" s="728"/>
      <c r="H23" s="728"/>
      <c r="I23" s="728"/>
      <c r="J23" s="728"/>
      <c r="K23" s="728"/>
      <c r="L23" s="728"/>
      <c r="M23" s="728"/>
      <c r="N23" s="559"/>
      <c r="O23" s="559"/>
    </row>
    <row r="24" spans="1:15" ht="14">
      <c r="A24" s="724" t="s">
        <v>76</v>
      </c>
      <c r="B24" s="725"/>
      <c r="C24" s="725"/>
      <c r="D24" s="725"/>
      <c r="E24" s="725"/>
      <c r="F24" s="725"/>
      <c r="G24" s="725"/>
      <c r="H24" s="725"/>
      <c r="I24" s="725"/>
      <c r="J24" s="725"/>
      <c r="K24" s="725"/>
      <c r="L24" s="725"/>
      <c r="M24" s="725"/>
      <c r="N24" s="725"/>
      <c r="O24" s="504"/>
    </row>
    <row r="25" spans="1:15" ht="14">
      <c r="A25" s="505" t="s">
        <v>77</v>
      </c>
      <c r="B25" s="504"/>
      <c r="C25" s="504"/>
      <c r="D25" s="504"/>
      <c r="E25" s="504"/>
      <c r="F25" s="504"/>
      <c r="G25" s="41"/>
      <c r="H25" s="41"/>
      <c r="I25" s="41"/>
      <c r="J25" s="41"/>
      <c r="K25" s="41"/>
      <c r="L25" s="41"/>
      <c r="M25" s="41"/>
      <c r="N25" s="41"/>
      <c r="O25" s="41"/>
    </row>
    <row r="26" spans="1:15" s="150" customFormat="1" ht="14">
      <c r="A26" s="726" t="s">
        <v>249</v>
      </c>
      <c r="B26" s="727"/>
      <c r="C26" s="727"/>
      <c r="D26" s="727"/>
      <c r="E26" s="727"/>
      <c r="F26" s="727"/>
      <c r="G26" s="727"/>
      <c r="H26" s="727"/>
      <c r="I26" s="727"/>
      <c r="J26" s="727"/>
      <c r="K26" s="727"/>
      <c r="L26" s="727"/>
      <c r="M26" s="727"/>
      <c r="N26" s="727"/>
      <c r="O26" s="504"/>
    </row>
    <row r="27" spans="1:15" ht="14">
      <c r="A27" s="235" t="s">
        <v>64</v>
      </c>
      <c r="B27" s="509"/>
      <c r="C27" s="509"/>
      <c r="D27" s="509"/>
      <c r="E27" s="509"/>
      <c r="F27" s="509"/>
      <c r="G27" s="509"/>
      <c r="H27" s="509"/>
      <c r="I27" s="509"/>
      <c r="J27" s="509"/>
      <c r="K27" s="509"/>
      <c r="L27" s="509"/>
      <c r="M27" s="509"/>
      <c r="N27" s="509"/>
      <c r="O27" s="497" t="s">
        <v>79</v>
      </c>
    </row>
    <row r="28" spans="1:15" ht="14">
      <c r="A28" s="455"/>
      <c r="B28" s="433"/>
      <c r="C28" s="433"/>
      <c r="D28" s="433"/>
      <c r="E28" s="433"/>
      <c r="F28" s="433"/>
      <c r="G28" s="433"/>
      <c r="H28" s="433"/>
      <c r="I28" s="433"/>
      <c r="J28" s="433"/>
      <c r="K28" s="433"/>
      <c r="L28" s="433"/>
      <c r="M28" s="433"/>
      <c r="N28" s="433"/>
      <c r="O28" s="433"/>
    </row>
    <row r="29" spans="1:15">
      <c r="N29" s="348"/>
    </row>
    <row r="30" spans="1:15">
      <c r="N30" s="348"/>
    </row>
  </sheetData>
  <mergeCells count="4">
    <mergeCell ref="A7:N7"/>
    <mergeCell ref="A24:N24"/>
    <mergeCell ref="A26:N26"/>
    <mergeCell ref="A23:M23"/>
  </mergeCells>
  <phoneticPr fontId="45"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8"/>
  <sheetViews>
    <sheetView showGridLines="0" showRuler="0" topLeftCell="A19" zoomScaleNormal="100" zoomScaleSheetLayoutView="100" workbookViewId="0">
      <selection activeCell="F34" sqref="F34"/>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1" bestFit="1" customWidth="1"/>
    <col min="15" max="15" width="149.54296875" customWidth="1"/>
  </cols>
  <sheetData>
    <row r="1" spans="1:16" ht="12.5">
      <c r="N1" s="352"/>
    </row>
    <row r="2" spans="1:16" ht="13">
      <c r="H2" s="148" t="s">
        <v>39</v>
      </c>
      <c r="N2" s="352"/>
    </row>
    <row r="3" spans="1:16" ht="13">
      <c r="H3" s="198" t="str">
        <f>'Program MW '!H3</f>
        <v>July 2021</v>
      </c>
      <c r="N3" s="352"/>
    </row>
    <row r="4" spans="1:16" ht="12.5">
      <c r="F4" s="150"/>
      <c r="G4" s="150"/>
      <c r="I4" s="150"/>
      <c r="N4" s="352"/>
      <c r="O4" s="41"/>
    </row>
    <row r="5" spans="1:16" ht="13">
      <c r="B5" s="150"/>
      <c r="C5" s="150"/>
      <c r="D5" s="150"/>
      <c r="F5" s="148"/>
      <c r="N5" s="352"/>
    </row>
    <row r="6" spans="1:16" ht="13">
      <c r="F6" s="148"/>
      <c r="N6" s="352"/>
    </row>
    <row r="7" spans="1:16" ht="22.5" customHeight="1">
      <c r="A7" s="729" t="s">
        <v>80</v>
      </c>
      <c r="B7" s="730"/>
      <c r="C7" s="730"/>
      <c r="D7" s="730"/>
      <c r="E7" s="730"/>
      <c r="F7" s="730"/>
      <c r="G7" s="730"/>
      <c r="H7" s="730"/>
      <c r="I7" s="730"/>
      <c r="J7" s="730"/>
      <c r="K7" s="730"/>
      <c r="L7" s="730"/>
      <c r="M7" s="730"/>
      <c r="N7" s="731"/>
      <c r="O7" s="39"/>
    </row>
    <row r="8" spans="1:16" ht="40.5" customHeight="1">
      <c r="A8" s="40" t="s">
        <v>1</v>
      </c>
      <c r="B8" s="422" t="s">
        <v>41</v>
      </c>
      <c r="C8" s="422" t="s">
        <v>42</v>
      </c>
      <c r="D8" s="422" t="s">
        <v>43</v>
      </c>
      <c r="E8" s="422" t="s">
        <v>44</v>
      </c>
      <c r="F8" s="422" t="s">
        <v>31</v>
      </c>
      <c r="G8" s="422" t="s">
        <v>45</v>
      </c>
      <c r="H8" s="422" t="s">
        <v>59</v>
      </c>
      <c r="I8" s="422" t="s">
        <v>66</v>
      </c>
      <c r="J8" s="422" t="s">
        <v>67</v>
      </c>
      <c r="K8" s="422" t="s">
        <v>61</v>
      </c>
      <c r="L8" s="422" t="s">
        <v>68</v>
      </c>
      <c r="M8" s="422" t="s">
        <v>62</v>
      </c>
      <c r="N8" s="421" t="str">
        <f>'Ex ante LI &amp; Eligibility Stats'!N8:N8</f>
        <v>Eligible Accounts as of January</v>
      </c>
      <c r="O8" s="272" t="s">
        <v>70</v>
      </c>
    </row>
    <row r="9" spans="1:16" ht="75.75" customHeight="1">
      <c r="A9" s="423" t="s">
        <v>8</v>
      </c>
      <c r="B9" s="424">
        <v>106.08</v>
      </c>
      <c r="C9" s="424">
        <v>106.08</v>
      </c>
      <c r="D9" s="424">
        <v>106</v>
      </c>
      <c r="E9" s="424">
        <v>106</v>
      </c>
      <c r="F9" s="424">
        <v>106</v>
      </c>
      <c r="G9" s="424">
        <v>106</v>
      </c>
      <c r="H9" s="424">
        <v>106</v>
      </c>
      <c r="I9" s="424">
        <v>106</v>
      </c>
      <c r="J9" s="424">
        <v>106</v>
      </c>
      <c r="K9" s="424">
        <v>106</v>
      </c>
      <c r="L9" s="424">
        <v>106</v>
      </c>
      <c r="M9" s="424">
        <v>106</v>
      </c>
      <c r="N9" s="431">
        <f>'Ex ante LI &amp; Eligibility Stats'!N9</f>
        <v>5326</v>
      </c>
      <c r="O9" s="273"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24"/>
    </row>
    <row r="10" spans="1:16" ht="75.75" customHeight="1">
      <c r="A10" s="510" t="s">
        <v>11</v>
      </c>
      <c r="B10" s="511">
        <v>0.4</v>
      </c>
      <c r="C10" s="511">
        <v>0.4</v>
      </c>
      <c r="D10" s="424">
        <v>0.48120716908709499</v>
      </c>
      <c r="E10" s="424">
        <v>0.48120716908709499</v>
      </c>
      <c r="F10" s="424">
        <v>0.48120716908709499</v>
      </c>
      <c r="G10" s="424">
        <v>0.48120716908709499</v>
      </c>
      <c r="H10" s="424">
        <v>0.48120716908709499</v>
      </c>
      <c r="I10" s="424">
        <v>0.48120716908709499</v>
      </c>
      <c r="J10" s="424">
        <v>0.48120716908709499</v>
      </c>
      <c r="K10" s="424">
        <v>0.48120716908709499</v>
      </c>
      <c r="L10" s="424">
        <v>0.48120716908709499</v>
      </c>
      <c r="M10" s="424">
        <v>0.48120716908709499</v>
      </c>
      <c r="N10" s="429">
        <f>'Ex ante LI &amp; Eligibility Stats'!N10</f>
        <v>24298</v>
      </c>
      <c r="O10" s="273"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26" t="s">
        <v>17</v>
      </c>
      <c r="B11" s="427">
        <v>0.32</v>
      </c>
      <c r="C11" s="427">
        <v>0.32</v>
      </c>
      <c r="D11" s="424">
        <v>0.30028513073921204</v>
      </c>
      <c r="E11" s="424">
        <v>0.30028513073921204</v>
      </c>
      <c r="F11" s="424">
        <v>0.30028513073921204</v>
      </c>
      <c r="G11" s="424">
        <v>0.30028513073921204</v>
      </c>
      <c r="H11" s="424">
        <v>0.30028513073921204</v>
      </c>
      <c r="I11" s="424">
        <v>0.30028513073921204</v>
      </c>
      <c r="J11" s="424">
        <v>0.30028513073921204</v>
      </c>
      <c r="K11" s="424">
        <v>0.30028513073921204</v>
      </c>
      <c r="L11" s="424">
        <v>0.30028513073921204</v>
      </c>
      <c r="M11" s="424">
        <v>0.30028513073921204</v>
      </c>
      <c r="N11" s="429">
        <f>'Ex ante LI &amp; Eligibility Stats'!N11</f>
        <v>590220</v>
      </c>
      <c r="O11" s="273"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26" t="s">
        <v>20</v>
      </c>
      <c r="B12" s="427">
        <v>0.46</v>
      </c>
      <c r="C12" s="427">
        <v>0.46</v>
      </c>
      <c r="D12" s="424">
        <v>0.4638446569442749</v>
      </c>
      <c r="E12" s="424">
        <v>0.4638446569442749</v>
      </c>
      <c r="F12" s="424">
        <v>0.4638446569442749</v>
      </c>
      <c r="G12" s="424">
        <v>0.4638446569442749</v>
      </c>
      <c r="H12" s="424">
        <v>0.4638446569442749</v>
      </c>
      <c r="I12" s="424">
        <v>0.4638446569442749</v>
      </c>
      <c r="J12" s="424">
        <v>0.4638446569442749</v>
      </c>
      <c r="K12" s="424">
        <v>0.4638446569442749</v>
      </c>
      <c r="L12" s="424">
        <v>0.4638446569442749</v>
      </c>
      <c r="M12" s="424">
        <v>0.4638446569442749</v>
      </c>
      <c r="N12" s="429">
        <f>'Ex ante LI &amp; Eligibility Stats'!N12</f>
        <v>133226</v>
      </c>
      <c r="O12" s="273"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26" t="s">
        <v>21</v>
      </c>
      <c r="B13" s="427">
        <v>0.13</v>
      </c>
      <c r="C13" s="427">
        <v>0.13</v>
      </c>
      <c r="D13" s="424">
        <v>0.13413890000000001</v>
      </c>
      <c r="E13" s="424">
        <v>0.13413890000000001</v>
      </c>
      <c r="F13" s="424">
        <v>0.13413890000000001</v>
      </c>
      <c r="G13" s="424">
        <v>0.13413890000000001</v>
      </c>
      <c r="H13" s="424">
        <v>0.13413890000000001</v>
      </c>
      <c r="I13" s="424">
        <v>0.13413890000000001</v>
      </c>
      <c r="J13" s="424">
        <v>0.13413890000000001</v>
      </c>
      <c r="K13" s="424">
        <v>0.13413890000000001</v>
      </c>
      <c r="L13" s="424">
        <v>0.13413890000000001</v>
      </c>
      <c r="M13" s="424">
        <v>0.13413890000000001</v>
      </c>
      <c r="N13" s="429">
        <f>'Ex ante LI &amp; Eligibility Stats'!N13</f>
        <v>590220</v>
      </c>
      <c r="O13" s="273"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26" t="s">
        <v>23</v>
      </c>
      <c r="B14" s="427">
        <v>0.05</v>
      </c>
      <c r="C14" s="427">
        <v>0.05</v>
      </c>
      <c r="D14" s="424">
        <v>4.9344300000000001E-2</v>
      </c>
      <c r="E14" s="424">
        <v>4.9344300000000001E-2</v>
      </c>
      <c r="F14" s="424">
        <v>4.9344300000000001E-2</v>
      </c>
      <c r="G14" s="424">
        <v>4.9344300000000001E-2</v>
      </c>
      <c r="H14" s="424">
        <v>4.9344300000000001E-2</v>
      </c>
      <c r="I14" s="424">
        <v>4.9344300000000001E-2</v>
      </c>
      <c r="J14" s="424">
        <v>4.9344300000000001E-2</v>
      </c>
      <c r="K14" s="424">
        <v>4.9344300000000001E-2</v>
      </c>
      <c r="L14" s="424">
        <v>4.9344300000000001E-2</v>
      </c>
      <c r="M14" s="424">
        <v>4.9344300000000001E-2</v>
      </c>
      <c r="N14" s="429">
        <f>'Ex ante LI &amp; Eligibility Stats'!N14</f>
        <v>133226</v>
      </c>
      <c r="O14" s="273"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10" t="s">
        <v>24</v>
      </c>
      <c r="B15" s="512">
        <v>18</v>
      </c>
      <c r="C15" s="512">
        <v>18</v>
      </c>
      <c r="D15" s="424">
        <v>17.953320000000001</v>
      </c>
      <c r="E15" s="424">
        <v>17.953320000000001</v>
      </c>
      <c r="F15" s="424">
        <v>17.953320000000001</v>
      </c>
      <c r="G15" s="424">
        <v>17.953320000000001</v>
      </c>
      <c r="H15" s="424">
        <v>17.953320000000001</v>
      </c>
      <c r="I15" s="424">
        <v>17.953320000000001</v>
      </c>
      <c r="J15" s="424">
        <v>17.953320000000001</v>
      </c>
      <c r="K15" s="424">
        <v>17.953320000000001</v>
      </c>
      <c r="L15" s="424">
        <v>17.953320000000001</v>
      </c>
      <c r="M15" s="424">
        <v>17.953320000000001</v>
      </c>
      <c r="N15" s="429">
        <f>'Ex ante LI &amp; Eligibility Stats'!N15</f>
        <v>78368</v>
      </c>
      <c r="O15" s="273"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10" t="s">
        <v>25</v>
      </c>
      <c r="B16" s="512">
        <v>13.8</v>
      </c>
      <c r="C16" s="512">
        <v>13.8</v>
      </c>
      <c r="D16" s="424">
        <v>13.800850000000001</v>
      </c>
      <c r="E16" s="424">
        <v>13.800850000000001</v>
      </c>
      <c r="F16" s="424">
        <v>13.800850000000001</v>
      </c>
      <c r="G16" s="424">
        <v>13.800850000000001</v>
      </c>
      <c r="H16" s="424">
        <v>13.800850000000001</v>
      </c>
      <c r="I16" s="424">
        <v>13.800850000000001</v>
      </c>
      <c r="J16" s="424">
        <v>13.800850000000001</v>
      </c>
      <c r="K16" s="424">
        <v>13.800850000000001</v>
      </c>
      <c r="L16" s="424">
        <v>13.800850000000001</v>
      </c>
      <c r="M16" s="424">
        <v>13.800850000000001</v>
      </c>
      <c r="N16" s="429">
        <f>'Ex ante LI &amp; Eligibility Stats'!N16</f>
        <v>78368</v>
      </c>
      <c r="O16" s="273"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26" t="s">
        <v>27</v>
      </c>
      <c r="B17" s="424">
        <v>0.17</v>
      </c>
      <c r="C17" s="424">
        <v>0.17</v>
      </c>
      <c r="D17" s="424">
        <v>0.16711041871077983</v>
      </c>
      <c r="E17" s="424">
        <v>0.16711041871077983</v>
      </c>
      <c r="F17" s="424">
        <v>0.16711041871077983</v>
      </c>
      <c r="G17" s="424">
        <v>0.16711041871077983</v>
      </c>
      <c r="H17" s="424">
        <v>0.16711041871077983</v>
      </c>
      <c r="I17" s="424">
        <v>0.16711041871077983</v>
      </c>
      <c r="J17" s="424">
        <v>0.16711041871077983</v>
      </c>
      <c r="K17" s="424">
        <v>0.16711041871077983</v>
      </c>
      <c r="L17" s="424">
        <v>0.16711041871077983</v>
      </c>
      <c r="M17" s="424">
        <v>0.16711041871077983</v>
      </c>
      <c r="N17" s="429">
        <f>'Ex ante LI &amp; Eligibility Stats'!N17</f>
        <v>1292629</v>
      </c>
      <c r="O17" s="273"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98" t="s">
        <v>26</v>
      </c>
      <c r="B18" s="432">
        <v>0.05</v>
      </c>
      <c r="C18" s="432">
        <v>0.05</v>
      </c>
      <c r="D18" s="499">
        <v>4.9964198690539703E-2</v>
      </c>
      <c r="E18" s="499">
        <v>4.9964198690539703E-2</v>
      </c>
      <c r="F18" s="499">
        <v>4.9964198690539703E-2</v>
      </c>
      <c r="G18" s="499">
        <v>4.9964198690539703E-2</v>
      </c>
      <c r="H18" s="499">
        <v>4.9964198690539703E-2</v>
      </c>
      <c r="I18" s="499">
        <v>4.9964198690539703E-2</v>
      </c>
      <c r="J18" s="499">
        <v>4.9964198690539703E-2</v>
      </c>
      <c r="K18" s="499">
        <v>4.9964198690539703E-2</v>
      </c>
      <c r="L18" s="499">
        <v>4.9964198690539703E-2</v>
      </c>
      <c r="M18" s="499">
        <v>4.9964198690539703E-2</v>
      </c>
      <c r="N18" s="506">
        <f>'Ex ante LI &amp; Eligibility Stats'!N18</f>
        <v>120672</v>
      </c>
      <c r="O18" s="507"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23" t="s">
        <v>55</v>
      </c>
      <c r="B19" s="502">
        <v>0</v>
      </c>
      <c r="C19" s="502">
        <v>0</v>
      </c>
      <c r="D19" s="502">
        <v>0.47450989484786987</v>
      </c>
      <c r="E19" s="502">
        <v>0.47450989484786987</v>
      </c>
      <c r="F19" s="502">
        <v>0.47450989484786987</v>
      </c>
      <c r="G19" s="502">
        <v>0.47450989484786987</v>
      </c>
      <c r="H19" s="502">
        <v>0.47450989484786987</v>
      </c>
      <c r="I19" s="502">
        <v>0.47450989484786987</v>
      </c>
      <c r="J19" s="502">
        <v>0.47450989484786987</v>
      </c>
      <c r="K19" s="502">
        <v>0.47450989484786987</v>
      </c>
      <c r="L19" s="502">
        <v>0.47450989484786987</v>
      </c>
      <c r="M19" s="502">
        <v>0.47450989484786987</v>
      </c>
      <c r="N19" s="508">
        <f>'Ex ante LI &amp; Eligibility Stats'!N19</f>
        <v>2822</v>
      </c>
      <c r="O19" s="273"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45"/>
      <c r="B20" s="446"/>
      <c r="C20" s="446"/>
      <c r="D20" s="446"/>
      <c r="E20" s="446"/>
      <c r="F20" s="446"/>
      <c r="G20" s="446"/>
      <c r="H20" s="446"/>
      <c r="I20" s="446"/>
      <c r="J20" s="446"/>
      <c r="K20" s="446"/>
      <c r="L20" s="446"/>
      <c r="M20" s="446"/>
      <c r="N20" s="447"/>
      <c r="O20" s="419"/>
    </row>
    <row r="21" spans="1:26" ht="14">
      <c r="A21" s="732" t="s">
        <v>81</v>
      </c>
      <c r="B21" s="732"/>
      <c r="C21" s="732"/>
      <c r="D21" s="732"/>
      <c r="E21" s="732"/>
      <c r="F21" s="732"/>
      <c r="G21" s="732"/>
      <c r="H21" s="732"/>
      <c r="I21" s="732"/>
      <c r="J21" s="732"/>
      <c r="K21" s="732"/>
      <c r="L21" s="732"/>
      <c r="M21" s="732"/>
      <c r="N21" s="732"/>
      <c r="O21" s="732"/>
    </row>
    <row r="22" spans="1:26" s="10" customFormat="1" ht="48.75" customHeight="1">
      <c r="A22" s="728" t="s">
        <v>291</v>
      </c>
      <c r="B22" s="739"/>
      <c r="C22" s="739"/>
      <c r="D22" s="739"/>
      <c r="E22" s="739"/>
      <c r="F22" s="739"/>
      <c r="G22" s="739"/>
      <c r="H22" s="739"/>
      <c r="I22" s="739"/>
      <c r="J22" s="739"/>
      <c r="K22" s="739"/>
      <c r="L22" s="739"/>
      <c r="M22" s="560"/>
      <c r="N22" s="560"/>
      <c r="O22" s="560"/>
      <c r="P22" s="13"/>
      <c r="Q22" s="13"/>
      <c r="R22" s="13"/>
      <c r="S22" s="13"/>
      <c r="T22" s="146"/>
      <c r="U22" s="146"/>
      <c r="V22" s="146"/>
      <c r="W22" s="146"/>
      <c r="X22" s="146"/>
      <c r="Y22" s="146"/>
      <c r="Z22" s="146"/>
    </row>
    <row r="23" spans="1:26" s="10" customFormat="1" ht="13.5" customHeight="1">
      <c r="A23" s="634"/>
      <c r="B23" s="641"/>
      <c r="C23" s="641"/>
      <c r="D23" s="641"/>
      <c r="E23" s="641"/>
      <c r="F23" s="641"/>
      <c r="G23" s="641"/>
      <c r="H23" s="641"/>
      <c r="I23" s="641"/>
      <c r="J23" s="641"/>
      <c r="K23" s="641"/>
      <c r="L23" s="641"/>
      <c r="M23" s="636"/>
      <c r="N23" s="636"/>
      <c r="O23" s="636"/>
      <c r="P23" s="13"/>
      <c r="Q23" s="13"/>
      <c r="R23" s="13"/>
      <c r="S23" s="13"/>
      <c r="T23" s="146"/>
      <c r="U23" s="146"/>
      <c r="V23" s="146"/>
      <c r="W23" s="146"/>
      <c r="X23" s="146"/>
      <c r="Y23" s="146"/>
      <c r="Z23" s="146"/>
    </row>
    <row r="24" spans="1:26" ht="12.75" customHeight="1">
      <c r="A24" s="733" t="s">
        <v>82</v>
      </c>
      <c r="B24" s="734"/>
      <c r="C24" s="734"/>
      <c r="D24" s="734"/>
      <c r="E24" s="734"/>
      <c r="F24" s="734"/>
      <c r="G24" s="734"/>
      <c r="H24" s="734"/>
      <c r="I24" s="734"/>
      <c r="J24" s="734"/>
      <c r="K24" s="734"/>
      <c r="L24" s="734"/>
      <c r="M24" s="734"/>
      <c r="N24" s="734"/>
      <c r="O24" s="734"/>
    </row>
    <row r="25" spans="1:26" ht="12.75" customHeight="1">
      <c r="A25" s="635"/>
      <c r="B25" s="636"/>
      <c r="C25" s="636"/>
      <c r="D25" s="636"/>
      <c r="E25" s="636"/>
      <c r="F25" s="636"/>
      <c r="G25" s="636"/>
      <c r="H25" s="636"/>
      <c r="I25" s="636"/>
      <c r="J25" s="636"/>
      <c r="K25" s="636"/>
      <c r="L25" s="636"/>
      <c r="M25" s="636"/>
      <c r="N25" s="636"/>
      <c r="O25" s="636"/>
    </row>
    <row r="26" spans="1:26" ht="12.75" customHeight="1">
      <c r="A26" s="737" t="s">
        <v>78</v>
      </c>
      <c r="B26" s="738"/>
      <c r="C26" s="738"/>
      <c r="D26" s="738"/>
      <c r="E26" s="738"/>
      <c r="F26" s="738"/>
      <c r="G26" s="738"/>
      <c r="H26" s="738"/>
      <c r="I26" s="738"/>
      <c r="J26" s="738"/>
      <c r="K26" s="738"/>
      <c r="L26" s="738"/>
      <c r="M26" s="738"/>
      <c r="N26" s="738"/>
    </row>
    <row r="27" spans="1:26" ht="12.75" customHeight="1">
      <c r="A27" s="639"/>
      <c r="B27" s="640"/>
      <c r="C27" s="640"/>
      <c r="D27" s="640"/>
      <c r="E27" s="640"/>
      <c r="F27" s="640"/>
      <c r="G27" s="640"/>
      <c r="H27" s="640"/>
      <c r="I27" s="640"/>
      <c r="J27" s="640"/>
      <c r="K27" s="640"/>
      <c r="L27" s="640"/>
      <c r="M27" s="640"/>
      <c r="N27" s="640"/>
    </row>
    <row r="28" spans="1:26" s="10" customFormat="1" ht="27.65" customHeight="1">
      <c r="A28" s="735" t="s">
        <v>332</v>
      </c>
      <c r="B28" s="736"/>
      <c r="C28" s="736"/>
      <c r="D28" s="736"/>
      <c r="E28" s="736"/>
      <c r="F28" s="736"/>
      <c r="G28" s="736"/>
      <c r="H28" s="736"/>
      <c r="I28" s="736"/>
      <c r="J28" s="736"/>
      <c r="K28" s="736"/>
      <c r="L28" s="736"/>
      <c r="M28" s="736"/>
      <c r="N28" s="736"/>
      <c r="O28"/>
      <c r="P28" s="13"/>
      <c r="Q28" s="13"/>
      <c r="R28" s="13"/>
      <c r="S28" s="13"/>
      <c r="T28" s="146"/>
      <c r="U28" s="146"/>
      <c r="V28" s="146"/>
      <c r="W28" s="146"/>
      <c r="X28" s="146"/>
      <c r="Y28" s="146"/>
      <c r="Z28" s="146"/>
    </row>
    <row r="29" spans="1:26" s="10" customFormat="1" ht="15.75" customHeight="1">
      <c r="A29" s="637"/>
      <c r="B29" s="638"/>
      <c r="C29" s="638"/>
      <c r="D29" s="638"/>
      <c r="E29" s="638"/>
      <c r="F29" s="638"/>
      <c r="G29" s="638"/>
      <c r="H29" s="638"/>
      <c r="I29" s="638"/>
      <c r="J29" s="638"/>
      <c r="K29" s="638"/>
      <c r="L29" s="638"/>
      <c r="M29" s="638"/>
      <c r="N29" s="638"/>
      <c r="O29"/>
      <c r="P29" s="13"/>
      <c r="Q29" s="13"/>
      <c r="R29" s="13"/>
      <c r="S29" s="13"/>
      <c r="T29" s="146"/>
      <c r="U29" s="146"/>
      <c r="V29" s="146"/>
      <c r="W29" s="146"/>
      <c r="X29" s="146"/>
      <c r="Y29" s="146"/>
      <c r="Z29" s="146"/>
    </row>
    <row r="30" spans="1:26" s="10" customFormat="1" ht="14">
      <c r="A30" s="246" t="s">
        <v>64</v>
      </c>
      <c r="B30"/>
      <c r="C30"/>
      <c r="D30"/>
      <c r="E30"/>
      <c r="F30"/>
      <c r="G30"/>
      <c r="H30"/>
      <c r="I30"/>
      <c r="J30"/>
      <c r="K30"/>
      <c r="L30"/>
      <c r="M30"/>
      <c r="N30" s="352"/>
      <c r="O30"/>
      <c r="P30" s="13"/>
      <c r="Q30" s="13"/>
      <c r="R30" s="13"/>
      <c r="S30" s="13"/>
      <c r="T30" s="146"/>
      <c r="U30" s="146"/>
      <c r="V30" s="146"/>
      <c r="W30" s="146"/>
      <c r="X30" s="146"/>
      <c r="Y30" s="146"/>
      <c r="Z30" s="146"/>
    </row>
    <row r="31" spans="1:26" ht="40.5" customHeight="1">
      <c r="N31" s="352"/>
    </row>
    <row r="58" spans="1:1" ht="40.5" customHeight="1">
      <c r="A58" s="204"/>
    </row>
  </sheetData>
  <mergeCells count="6">
    <mergeCell ref="A7:N7"/>
    <mergeCell ref="A21:O21"/>
    <mergeCell ref="A24:O24"/>
    <mergeCell ref="A28:N28"/>
    <mergeCell ref="A26:N26"/>
    <mergeCell ref="A22:L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83</v>
      </c>
    </row>
    <row r="3" spans="1:25" ht="21.75" customHeight="1">
      <c r="A3" s="94">
        <v>2016</v>
      </c>
      <c r="B3" s="740" t="s">
        <v>41</v>
      </c>
      <c r="C3" s="740"/>
      <c r="D3" s="740"/>
      <c r="E3" s="740"/>
      <c r="F3" s="741" t="s">
        <v>42</v>
      </c>
      <c r="G3" s="741"/>
      <c r="H3" s="741"/>
      <c r="I3" s="741"/>
      <c r="J3" s="741" t="s">
        <v>43</v>
      </c>
      <c r="K3" s="741"/>
      <c r="L3" s="741"/>
      <c r="M3" s="741"/>
      <c r="N3" s="741" t="s">
        <v>44</v>
      </c>
      <c r="O3" s="741"/>
      <c r="P3" s="741"/>
      <c r="Q3" s="741"/>
      <c r="R3" s="741" t="s">
        <v>31</v>
      </c>
      <c r="S3" s="741"/>
      <c r="T3" s="741"/>
      <c r="U3" s="741"/>
      <c r="V3" s="741" t="s">
        <v>45</v>
      </c>
      <c r="W3" s="741"/>
      <c r="X3" s="741"/>
      <c r="Y3" s="741"/>
    </row>
    <row r="4" spans="1:25" ht="79.5" customHeight="1">
      <c r="A4" s="456" t="s">
        <v>84</v>
      </c>
      <c r="B4" s="54" t="s">
        <v>85</v>
      </c>
      <c r="C4" s="54" t="s">
        <v>86</v>
      </c>
      <c r="D4" s="54" t="s">
        <v>87</v>
      </c>
      <c r="E4" s="54" t="s">
        <v>88</v>
      </c>
      <c r="F4" s="54" t="s">
        <v>85</v>
      </c>
      <c r="G4" s="54" t="s">
        <v>86</v>
      </c>
      <c r="H4" s="54" t="s">
        <v>87</v>
      </c>
      <c r="I4" s="54" t="s">
        <v>88</v>
      </c>
      <c r="J4" s="54" t="s">
        <v>85</v>
      </c>
      <c r="K4" s="54" t="s">
        <v>86</v>
      </c>
      <c r="L4" s="54" t="s">
        <v>87</v>
      </c>
      <c r="M4" s="54" t="s">
        <v>88</v>
      </c>
      <c r="N4" s="54" t="s">
        <v>85</v>
      </c>
      <c r="O4" s="54" t="s">
        <v>86</v>
      </c>
      <c r="P4" s="54" t="s">
        <v>87</v>
      </c>
      <c r="Q4" s="54" t="s">
        <v>88</v>
      </c>
      <c r="R4" s="54" t="s">
        <v>85</v>
      </c>
      <c r="S4" s="54" t="s">
        <v>86</v>
      </c>
      <c r="T4" s="54" t="s">
        <v>87</v>
      </c>
      <c r="U4" s="54" t="s">
        <v>88</v>
      </c>
      <c r="V4" s="54" t="s">
        <v>85</v>
      </c>
      <c r="W4" s="54" t="s">
        <v>86</v>
      </c>
      <c r="X4" s="54" t="s">
        <v>87</v>
      </c>
      <c r="Y4" s="54" t="s">
        <v>88</v>
      </c>
    </row>
    <row r="5" spans="1:25" ht="13">
      <c r="A5" s="95" t="s">
        <v>89</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90</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91</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457"/>
      <c r="F9" s="65"/>
      <c r="G9" s="66"/>
      <c r="H9" s="67"/>
      <c r="I9" s="67"/>
      <c r="J9" s="68"/>
      <c r="K9" s="66"/>
      <c r="L9" s="67"/>
      <c r="M9" s="60"/>
      <c r="N9" s="68"/>
      <c r="O9" s="66"/>
      <c r="P9" s="67"/>
      <c r="Q9" s="60"/>
      <c r="R9" s="68"/>
      <c r="S9" s="66"/>
      <c r="T9" s="67"/>
      <c r="U9" s="60"/>
      <c r="V9" s="68"/>
      <c r="W9" s="66"/>
      <c r="X9" s="67"/>
      <c r="Y9" s="60">
        <f>SUM(W9:X9)</f>
        <v>0</v>
      </c>
    </row>
    <row r="10" spans="1:25" ht="13">
      <c r="A10" s="95" t="s">
        <v>92</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ht="13">
      <c r="A11" s="95" t="s">
        <v>93</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ht="13">
      <c r="A13" s="96" t="s">
        <v>91</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88</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456" t="s">
        <v>94</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95</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91</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96</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741" t="s">
        <v>59</v>
      </c>
      <c r="C25" s="741"/>
      <c r="D25" s="741"/>
      <c r="E25" s="741"/>
      <c r="F25" s="741" t="s">
        <v>66</v>
      </c>
      <c r="G25" s="741"/>
      <c r="H25" s="741"/>
      <c r="I25" s="741" t="s">
        <v>59</v>
      </c>
      <c r="J25" s="741" t="s">
        <v>67</v>
      </c>
      <c r="K25" s="741"/>
      <c r="L25" s="741"/>
      <c r="M25" s="741" t="s">
        <v>59</v>
      </c>
      <c r="N25" s="741" t="s">
        <v>61</v>
      </c>
      <c r="O25" s="741"/>
      <c r="P25" s="741"/>
      <c r="Q25" s="741" t="s">
        <v>59</v>
      </c>
      <c r="R25" s="741" t="s">
        <v>68</v>
      </c>
      <c r="S25" s="741"/>
      <c r="T25" s="741"/>
      <c r="U25" s="741" t="s">
        <v>59</v>
      </c>
      <c r="V25" s="741" t="s">
        <v>62</v>
      </c>
      <c r="W25" s="741"/>
      <c r="X25" s="741"/>
      <c r="Y25" s="741" t="s">
        <v>59</v>
      </c>
    </row>
    <row r="26" spans="1:25" ht="39">
      <c r="A26" s="456" t="s">
        <v>84</v>
      </c>
      <c r="B26" s="54" t="s">
        <v>85</v>
      </c>
      <c r="C26" s="54" t="s">
        <v>86</v>
      </c>
      <c r="D26" s="54" t="s">
        <v>87</v>
      </c>
      <c r="E26" s="54" t="s">
        <v>88</v>
      </c>
      <c r="F26" s="54" t="s">
        <v>85</v>
      </c>
      <c r="G26" s="54" t="s">
        <v>86</v>
      </c>
      <c r="H26" s="54" t="s">
        <v>87</v>
      </c>
      <c r="I26" s="54" t="s">
        <v>88</v>
      </c>
      <c r="J26" s="54" t="s">
        <v>85</v>
      </c>
      <c r="K26" s="54" t="s">
        <v>86</v>
      </c>
      <c r="L26" s="54" t="s">
        <v>87</v>
      </c>
      <c r="M26" s="54" t="s">
        <v>88</v>
      </c>
      <c r="N26" s="54" t="s">
        <v>85</v>
      </c>
      <c r="O26" s="54" t="s">
        <v>86</v>
      </c>
      <c r="P26" s="54" t="s">
        <v>87</v>
      </c>
      <c r="Q26" s="54" t="s">
        <v>88</v>
      </c>
      <c r="R26" s="54" t="s">
        <v>85</v>
      </c>
      <c r="S26" s="54" t="s">
        <v>86</v>
      </c>
      <c r="T26" s="54" t="s">
        <v>87</v>
      </c>
      <c r="U26" s="54" t="s">
        <v>88</v>
      </c>
      <c r="V26" s="54" t="s">
        <v>85</v>
      </c>
      <c r="W26" s="54" t="s">
        <v>86</v>
      </c>
      <c r="X26" s="54" t="s">
        <v>87</v>
      </c>
      <c r="Y26" s="54" t="s">
        <v>88</v>
      </c>
    </row>
    <row r="27" spans="1:25" ht="13">
      <c r="A27" s="95" t="s">
        <v>97</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90</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98</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99</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100</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101</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91</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92</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102</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93</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91</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88</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456" t="s">
        <v>94</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95</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91</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96</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63</v>
      </c>
      <c r="B51" s="43"/>
      <c r="C51" s="45" t="s">
        <v>103</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104</v>
      </c>
      <c r="B53" s="43" t="s">
        <v>105</v>
      </c>
      <c r="D53" s="45"/>
      <c r="G53" s="45"/>
      <c r="I53" s="43"/>
      <c r="K53" s="45"/>
      <c r="M53" s="43"/>
      <c r="O53" s="45"/>
      <c r="P53" s="45"/>
      <c r="S53" s="45"/>
      <c r="T53" s="45"/>
      <c r="W53" s="45"/>
      <c r="X53" s="45"/>
    </row>
    <row r="54" spans="1:25" ht="13">
      <c r="A54" s="43" t="s">
        <v>106</v>
      </c>
      <c r="B54" s="43" t="s">
        <v>107</v>
      </c>
      <c r="D54" s="45"/>
      <c r="G54" s="45"/>
      <c r="I54" s="43"/>
      <c r="K54" s="45"/>
      <c r="M54" s="43"/>
      <c r="O54" s="45"/>
      <c r="P54" s="45"/>
      <c r="S54" s="45"/>
      <c r="T54" s="45"/>
    </row>
    <row r="55" spans="1:25" ht="13">
      <c r="A55" s="43" t="s">
        <v>108</v>
      </c>
      <c r="B55" s="43" t="s">
        <v>109</v>
      </c>
      <c r="D55" s="45"/>
      <c r="G55" s="45"/>
      <c r="I55" s="43"/>
      <c r="K55" s="45"/>
      <c r="M55" s="43"/>
      <c r="U55" s="52"/>
      <c r="V55" s="52"/>
      <c r="Y55" s="52"/>
    </row>
    <row r="56" spans="1:25" ht="13">
      <c r="A56" s="43" t="s">
        <v>110</v>
      </c>
      <c r="B56" s="43" t="s">
        <v>111</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56"/>
  <sheetViews>
    <sheetView topLeftCell="A7" zoomScaleNormal="100" zoomScaleSheetLayoutView="90" workbookViewId="0">
      <selection sqref="A1:XFD1048576"/>
    </sheetView>
  </sheetViews>
  <sheetFormatPr defaultColWidth="9.26953125" defaultRowHeight="14.25" customHeight="1"/>
  <cols>
    <col min="1" max="1" width="56.7265625" style="354" customWidth="1"/>
    <col min="2" max="2" width="30" style="242" customWidth="1"/>
    <col min="3" max="3" width="15.7265625" style="356" customWidth="1"/>
    <col min="4" max="4" width="27" style="354" bestFit="1" customWidth="1"/>
    <col min="5" max="5" width="15.7265625" style="354" customWidth="1"/>
    <col min="6" max="6" width="22" style="354" customWidth="1"/>
    <col min="7" max="7" width="37" style="354" customWidth="1"/>
    <col min="8" max="16384" width="9.26953125" style="355"/>
  </cols>
  <sheetData>
    <row r="2" spans="1:14" ht="13">
      <c r="A2" s="487"/>
      <c r="C2" s="243" t="s">
        <v>39</v>
      </c>
      <c r="D2" s="487"/>
      <c r="E2" s="487"/>
      <c r="F2" s="487"/>
      <c r="G2" s="487"/>
      <c r="H2" s="488"/>
      <c r="I2" s="488"/>
      <c r="J2" s="488"/>
      <c r="K2" s="488"/>
      <c r="L2" s="488"/>
      <c r="M2" s="488"/>
      <c r="N2" s="488"/>
    </row>
    <row r="3" spans="1:14" ht="13">
      <c r="A3" s="487"/>
      <c r="C3" s="243" t="s">
        <v>181</v>
      </c>
      <c r="D3" s="487"/>
      <c r="E3" s="487"/>
      <c r="F3" s="487"/>
      <c r="G3" s="487"/>
      <c r="H3" s="488"/>
      <c r="I3" s="488"/>
      <c r="J3" s="488"/>
      <c r="K3" s="488"/>
      <c r="L3" s="488"/>
      <c r="M3" s="488"/>
      <c r="N3" s="488"/>
    </row>
    <row r="4" spans="1:14" ht="13">
      <c r="A4" s="487"/>
      <c r="C4" s="243" t="str">
        <f>'Program MW '!H3</f>
        <v>July 2021</v>
      </c>
      <c r="D4" s="487"/>
      <c r="E4" s="487"/>
      <c r="F4" s="487"/>
      <c r="G4" s="487"/>
      <c r="H4" s="488"/>
      <c r="I4" s="488"/>
      <c r="J4" s="488"/>
      <c r="K4" s="488"/>
      <c r="L4" s="488"/>
      <c r="M4" s="488"/>
      <c r="N4" s="488"/>
    </row>
    <row r="5" spans="1:14" ht="13">
      <c r="A5" s="487"/>
      <c r="C5" s="243"/>
      <c r="D5" s="487"/>
      <c r="E5" s="487"/>
      <c r="F5" s="487"/>
      <c r="G5" s="487"/>
      <c r="H5" s="488"/>
      <c r="I5" s="488"/>
      <c r="J5" s="488"/>
      <c r="K5" s="488"/>
      <c r="L5" s="488"/>
      <c r="M5" s="488"/>
      <c r="N5" s="488"/>
    </row>
    <row r="7" spans="1:14" ht="15.5">
      <c r="A7" s="742" t="s">
        <v>182</v>
      </c>
      <c r="B7" s="743"/>
      <c r="C7" s="743"/>
      <c r="D7" s="743"/>
      <c r="E7" s="743"/>
      <c r="F7" s="743"/>
      <c r="G7" s="744"/>
      <c r="H7" s="488"/>
      <c r="I7" s="488"/>
      <c r="J7" s="488"/>
      <c r="K7" s="488"/>
      <c r="L7" s="488"/>
      <c r="M7" s="488"/>
      <c r="N7" s="488"/>
    </row>
    <row r="8" spans="1:14" ht="28">
      <c r="A8" s="489" t="s">
        <v>175</v>
      </c>
      <c r="B8" s="489" t="s">
        <v>183</v>
      </c>
      <c r="C8" s="490" t="s">
        <v>178</v>
      </c>
      <c r="D8" s="489" t="s">
        <v>184</v>
      </c>
      <c r="E8" s="491" t="s">
        <v>185</v>
      </c>
      <c r="F8" s="491" t="s">
        <v>186</v>
      </c>
      <c r="G8" s="491" t="s">
        <v>187</v>
      </c>
      <c r="H8" s="488"/>
      <c r="I8" s="488"/>
      <c r="J8" s="488"/>
      <c r="K8" s="488"/>
      <c r="L8" s="488"/>
      <c r="M8" s="488"/>
      <c r="N8" s="488"/>
    </row>
    <row r="9" spans="1:14" s="488" customFormat="1" ht="14.25" customHeight="1">
      <c r="A9" s="710" t="s">
        <v>324</v>
      </c>
      <c r="B9" s="711">
        <v>1</v>
      </c>
      <c r="C9" s="712">
        <v>44364</v>
      </c>
      <c r="D9" s="713" t="s">
        <v>314</v>
      </c>
      <c r="E9" s="714">
        <v>2.0273845333333331</v>
      </c>
      <c r="F9" s="715" t="s">
        <v>325</v>
      </c>
      <c r="G9" s="711">
        <v>3</v>
      </c>
    </row>
    <row r="10" spans="1:14" s="488" customFormat="1" ht="14.25" customHeight="1">
      <c r="A10" s="710" t="s">
        <v>92</v>
      </c>
      <c r="B10" s="711">
        <v>2</v>
      </c>
      <c r="C10" s="712">
        <v>44364</v>
      </c>
      <c r="D10" s="713" t="s">
        <v>326</v>
      </c>
      <c r="E10" s="714">
        <v>0.26278600531131435</v>
      </c>
      <c r="F10" s="715" t="s">
        <v>315</v>
      </c>
      <c r="G10" s="711">
        <v>2</v>
      </c>
    </row>
    <row r="11" spans="1:14" s="488" customFormat="1" ht="14.25" customHeight="1">
      <c r="A11" s="710" t="s">
        <v>317</v>
      </c>
      <c r="B11" s="711">
        <v>3</v>
      </c>
      <c r="C11" s="712">
        <v>44362</v>
      </c>
      <c r="D11" s="713" t="s">
        <v>318</v>
      </c>
      <c r="E11" s="714">
        <v>0.69502343333333327</v>
      </c>
      <c r="F11" s="715" t="s">
        <v>319</v>
      </c>
      <c r="G11" s="711">
        <v>3</v>
      </c>
    </row>
    <row r="12" spans="1:14" s="488" customFormat="1" ht="14.25" customHeight="1">
      <c r="A12" s="710" t="s">
        <v>320</v>
      </c>
      <c r="B12" s="711">
        <v>4</v>
      </c>
      <c r="C12" s="712">
        <v>44362</v>
      </c>
      <c r="D12" s="713" t="s">
        <v>318</v>
      </c>
      <c r="E12" s="714">
        <v>0.62630815000000006</v>
      </c>
      <c r="F12" s="715" t="s">
        <v>315</v>
      </c>
      <c r="G12" s="711">
        <v>2</v>
      </c>
    </row>
    <row r="13" spans="1:14" s="488" customFormat="1" ht="14.25" customHeight="1">
      <c r="A13" s="710" t="s">
        <v>321</v>
      </c>
      <c r="B13" s="711">
        <v>5</v>
      </c>
      <c r="C13" s="712">
        <v>44362</v>
      </c>
      <c r="D13" s="713" t="s">
        <v>322</v>
      </c>
      <c r="E13" s="714">
        <v>3.0679685000000001</v>
      </c>
      <c r="F13" s="715" t="s">
        <v>315</v>
      </c>
      <c r="G13" s="711">
        <v>2</v>
      </c>
    </row>
    <row r="14" spans="1:14" s="488" customFormat="1" ht="14.25" customHeight="1">
      <c r="A14" s="710" t="s">
        <v>317</v>
      </c>
      <c r="B14" s="711">
        <v>6</v>
      </c>
      <c r="C14" s="712">
        <v>44363</v>
      </c>
      <c r="D14" s="713" t="s">
        <v>318</v>
      </c>
      <c r="E14" s="714">
        <v>0.78972344999999999</v>
      </c>
      <c r="F14" s="715" t="s">
        <v>323</v>
      </c>
      <c r="G14" s="711">
        <v>5</v>
      </c>
    </row>
    <row r="15" spans="1:14" s="488" customFormat="1" ht="14.25" customHeight="1">
      <c r="A15" s="710" t="s">
        <v>320</v>
      </c>
      <c r="B15" s="711">
        <v>7</v>
      </c>
      <c r="C15" s="712">
        <v>44363</v>
      </c>
      <c r="D15" s="713" t="s">
        <v>318</v>
      </c>
      <c r="E15" s="714">
        <v>0.51411545000000003</v>
      </c>
      <c r="F15" s="715" t="s">
        <v>315</v>
      </c>
      <c r="G15" s="711">
        <v>4</v>
      </c>
    </row>
    <row r="16" spans="1:14" s="488" customFormat="1" ht="14.25" customHeight="1">
      <c r="A16" s="710" t="s">
        <v>321</v>
      </c>
      <c r="B16" s="711">
        <v>8</v>
      </c>
      <c r="C16" s="712">
        <v>44363</v>
      </c>
      <c r="D16" s="713" t="s">
        <v>322</v>
      </c>
      <c r="E16" s="714">
        <v>2.6918065000000002</v>
      </c>
      <c r="F16" s="715" t="s">
        <v>315</v>
      </c>
      <c r="G16" s="711">
        <v>4</v>
      </c>
    </row>
    <row r="17" spans="1:7" s="488" customFormat="1" ht="14.25" customHeight="1">
      <c r="A17" s="710" t="s">
        <v>317</v>
      </c>
      <c r="B17" s="711">
        <v>9</v>
      </c>
      <c r="C17" s="712">
        <v>44364</v>
      </c>
      <c r="D17" s="713" t="s">
        <v>318</v>
      </c>
      <c r="E17" s="714">
        <v>0.85352819999999996</v>
      </c>
      <c r="F17" s="715" t="s">
        <v>323</v>
      </c>
      <c r="G17" s="711">
        <v>7</v>
      </c>
    </row>
    <row r="18" spans="1:7" s="488" customFormat="1" ht="14.25" customHeight="1">
      <c r="A18" s="710" t="s">
        <v>320</v>
      </c>
      <c r="B18" s="711">
        <v>10</v>
      </c>
      <c r="C18" s="712">
        <v>44364</v>
      </c>
      <c r="D18" s="713" t="s">
        <v>318</v>
      </c>
      <c r="E18" s="714">
        <v>0.49246373333333332</v>
      </c>
      <c r="F18" s="715" t="s">
        <v>325</v>
      </c>
      <c r="G18" s="711">
        <v>7</v>
      </c>
    </row>
    <row r="19" spans="1:7" s="488" customFormat="1" ht="14.25" customHeight="1">
      <c r="A19" s="710" t="s">
        <v>321</v>
      </c>
      <c r="B19" s="711">
        <v>11</v>
      </c>
      <c r="C19" s="712">
        <v>44364</v>
      </c>
      <c r="D19" s="713" t="s">
        <v>322</v>
      </c>
      <c r="E19" s="714">
        <v>2.6815739999999999</v>
      </c>
      <c r="F19" s="715" t="s">
        <v>325</v>
      </c>
      <c r="G19" s="711">
        <v>7</v>
      </c>
    </row>
    <row r="20" spans="1:7" s="488" customFormat="1" ht="14.25" customHeight="1">
      <c r="A20" s="710" t="s">
        <v>313</v>
      </c>
      <c r="B20" s="711">
        <v>12</v>
      </c>
      <c r="C20" s="712">
        <v>44362</v>
      </c>
      <c r="D20" s="713" t="s">
        <v>314</v>
      </c>
      <c r="E20" s="714">
        <v>0.73429339999999999</v>
      </c>
      <c r="F20" s="715" t="s">
        <v>315</v>
      </c>
      <c r="G20" s="711">
        <v>2</v>
      </c>
    </row>
    <row r="21" spans="1:7" s="488" customFormat="1" ht="14.25" customHeight="1">
      <c r="A21" s="710" t="s">
        <v>316</v>
      </c>
      <c r="B21" s="711">
        <v>13</v>
      </c>
      <c r="C21" s="712">
        <v>44362</v>
      </c>
      <c r="D21" s="713" t="s">
        <v>314</v>
      </c>
      <c r="E21" s="714">
        <v>-0.32388844999999999</v>
      </c>
      <c r="F21" s="715" t="s">
        <v>315</v>
      </c>
      <c r="G21" s="711">
        <v>2</v>
      </c>
    </row>
    <row r="22" spans="1:7" s="488" customFormat="1" ht="14.25" customHeight="1">
      <c r="A22" s="710" t="s">
        <v>313</v>
      </c>
      <c r="B22" s="711">
        <v>14</v>
      </c>
      <c r="C22" s="712">
        <v>44363</v>
      </c>
      <c r="D22" s="713" t="s">
        <v>314</v>
      </c>
      <c r="E22" s="714">
        <v>0.34984634999999997</v>
      </c>
      <c r="F22" s="715" t="s">
        <v>315</v>
      </c>
      <c r="G22" s="711">
        <v>4</v>
      </c>
    </row>
    <row r="23" spans="1:7" s="488" customFormat="1" ht="14.25" customHeight="1">
      <c r="A23" s="710" t="s">
        <v>316</v>
      </c>
      <c r="B23" s="711">
        <v>15</v>
      </c>
      <c r="C23" s="712">
        <v>44363</v>
      </c>
      <c r="D23" s="713" t="s">
        <v>314</v>
      </c>
      <c r="E23" s="714">
        <v>0.85613500000000009</v>
      </c>
      <c r="F23" s="715" t="s">
        <v>315</v>
      </c>
      <c r="G23" s="711">
        <v>4</v>
      </c>
    </row>
    <row r="24" spans="1:7" s="488" customFormat="1" ht="14.25" customHeight="1">
      <c r="A24" s="710" t="s">
        <v>313</v>
      </c>
      <c r="B24" s="711">
        <v>16</v>
      </c>
      <c r="C24" s="712">
        <v>44364</v>
      </c>
      <c r="D24" s="713" t="s">
        <v>314</v>
      </c>
      <c r="E24" s="714">
        <v>1.1166212333333334</v>
      </c>
      <c r="F24" s="715" t="s">
        <v>325</v>
      </c>
      <c r="G24" s="711">
        <v>7</v>
      </c>
    </row>
    <row r="25" spans="1:7" s="488" customFormat="1" ht="14.25" customHeight="1">
      <c r="A25" s="710" t="s">
        <v>316</v>
      </c>
      <c r="B25" s="711">
        <v>17</v>
      </c>
      <c r="C25" s="712">
        <v>44364</v>
      </c>
      <c r="D25" s="713" t="s">
        <v>314</v>
      </c>
      <c r="E25" s="714">
        <v>1.0483366333333333</v>
      </c>
      <c r="F25" s="715" t="s">
        <v>325</v>
      </c>
      <c r="G25" s="711">
        <v>7</v>
      </c>
    </row>
    <row r="26" spans="1:7" s="488" customFormat="1" ht="14.25" customHeight="1">
      <c r="A26" s="710" t="s">
        <v>317</v>
      </c>
      <c r="B26" s="711">
        <v>18</v>
      </c>
      <c r="C26" s="712">
        <v>44375</v>
      </c>
      <c r="D26" s="713" t="s">
        <v>318</v>
      </c>
      <c r="E26" s="714">
        <v>0.79716555</v>
      </c>
      <c r="F26" s="715" t="s">
        <v>327</v>
      </c>
      <c r="G26" s="711">
        <v>11</v>
      </c>
    </row>
    <row r="27" spans="1:7" s="488" customFormat="1" ht="14.25" customHeight="1">
      <c r="A27" s="710" t="s">
        <v>320</v>
      </c>
      <c r="B27" s="711">
        <v>19</v>
      </c>
      <c r="C27" s="712">
        <v>44375</v>
      </c>
      <c r="D27" s="713" t="s">
        <v>318</v>
      </c>
      <c r="E27" s="714">
        <v>0.27668389999999998</v>
      </c>
      <c r="F27" s="715" t="s">
        <v>328</v>
      </c>
      <c r="G27" s="711">
        <v>11</v>
      </c>
    </row>
    <row r="28" spans="1:7" s="488" customFormat="1" ht="14.25" customHeight="1">
      <c r="A28" s="710" t="s">
        <v>321</v>
      </c>
      <c r="B28" s="711">
        <v>20</v>
      </c>
      <c r="C28" s="712">
        <v>44375</v>
      </c>
      <c r="D28" s="713" t="s">
        <v>322</v>
      </c>
      <c r="E28" s="714">
        <v>2.7157193333333329</v>
      </c>
      <c r="F28" s="715" t="s">
        <v>325</v>
      </c>
      <c r="G28" s="711">
        <v>10</v>
      </c>
    </row>
    <row r="29" spans="1:7" s="488" customFormat="1" ht="14.25" customHeight="1">
      <c r="A29" s="710" t="s">
        <v>317</v>
      </c>
      <c r="B29" s="711">
        <v>21</v>
      </c>
      <c r="C29" s="712">
        <v>44376</v>
      </c>
      <c r="D29" s="713" t="s">
        <v>318</v>
      </c>
      <c r="E29" s="714">
        <v>0.2094193</v>
      </c>
      <c r="F29" s="715" t="s">
        <v>327</v>
      </c>
      <c r="G29" s="711">
        <v>15</v>
      </c>
    </row>
    <row r="30" spans="1:7" s="488" customFormat="1" ht="14.25" customHeight="1">
      <c r="A30" s="710" t="s">
        <v>320</v>
      </c>
      <c r="B30" s="711">
        <v>22</v>
      </c>
      <c r="C30" s="712">
        <v>44376</v>
      </c>
      <c r="D30" s="713" t="s">
        <v>318</v>
      </c>
      <c r="E30" s="714">
        <v>0.36333464999999998</v>
      </c>
      <c r="F30" s="715" t="s">
        <v>328</v>
      </c>
      <c r="G30" s="711">
        <v>15</v>
      </c>
    </row>
    <row r="31" spans="1:7" s="488" customFormat="1" ht="14.25" customHeight="1">
      <c r="A31" s="710" t="s">
        <v>321</v>
      </c>
      <c r="B31" s="711">
        <v>23</v>
      </c>
      <c r="C31" s="712">
        <v>44376</v>
      </c>
      <c r="D31" s="713" t="s">
        <v>322</v>
      </c>
      <c r="E31" s="714">
        <v>2.6900766666666667</v>
      </c>
      <c r="F31" s="715" t="s">
        <v>325</v>
      </c>
      <c r="G31" s="711">
        <v>13</v>
      </c>
    </row>
    <row r="32" spans="1:7" s="488" customFormat="1" ht="14.25" customHeight="1">
      <c r="A32" s="710" t="s">
        <v>320</v>
      </c>
      <c r="B32" s="711">
        <v>24</v>
      </c>
      <c r="C32" s="712">
        <v>44377</v>
      </c>
      <c r="D32" s="713" t="s">
        <v>318</v>
      </c>
      <c r="E32" s="714">
        <v>0.42822079999999996</v>
      </c>
      <c r="F32" s="715" t="s">
        <v>329</v>
      </c>
      <c r="G32" s="711">
        <v>17</v>
      </c>
    </row>
    <row r="33" spans="1:7" s="488" customFormat="1" ht="14.25" customHeight="1">
      <c r="A33" s="710" t="s">
        <v>317</v>
      </c>
      <c r="B33" s="711">
        <v>24</v>
      </c>
      <c r="C33" s="712">
        <v>44386</v>
      </c>
      <c r="D33" s="713" t="s">
        <v>318</v>
      </c>
      <c r="E33" s="714">
        <v>0.68832539999999998</v>
      </c>
      <c r="F33" s="715" t="s">
        <v>323</v>
      </c>
      <c r="G33" s="711">
        <v>17</v>
      </c>
    </row>
    <row r="34" spans="1:7" s="488" customFormat="1" ht="14.25" customHeight="1">
      <c r="A34" s="710" t="s">
        <v>321</v>
      </c>
      <c r="B34" s="711">
        <v>24</v>
      </c>
      <c r="C34" s="712">
        <v>44386</v>
      </c>
      <c r="D34" s="713" t="s">
        <v>322</v>
      </c>
      <c r="E34" s="714">
        <v>2.5531534999999996</v>
      </c>
      <c r="F34" s="715" t="s">
        <v>315</v>
      </c>
      <c r="G34" s="711">
        <v>15</v>
      </c>
    </row>
    <row r="35" spans="1:7" s="488" customFormat="1" ht="14.25" customHeight="1">
      <c r="A35" s="710" t="s">
        <v>317</v>
      </c>
      <c r="B35" s="711">
        <v>24</v>
      </c>
      <c r="C35" s="712">
        <v>44389</v>
      </c>
      <c r="D35" s="713" t="s">
        <v>318</v>
      </c>
      <c r="E35" s="714">
        <v>0.72287075000000001</v>
      </c>
      <c r="F35" s="715" t="s">
        <v>323</v>
      </c>
      <c r="G35" s="711">
        <v>19</v>
      </c>
    </row>
    <row r="36" spans="1:7" s="488" customFormat="1" ht="14.25" customHeight="1">
      <c r="A36" s="710" t="s">
        <v>321</v>
      </c>
      <c r="B36" s="711">
        <v>24</v>
      </c>
      <c r="C36" s="712">
        <v>44389</v>
      </c>
      <c r="D36" s="713" t="s">
        <v>322</v>
      </c>
      <c r="E36" s="714">
        <v>2.5085666666666668</v>
      </c>
      <c r="F36" s="715" t="s">
        <v>325</v>
      </c>
      <c r="G36" s="711">
        <v>18</v>
      </c>
    </row>
    <row r="37" spans="1:7" s="488" customFormat="1" ht="14.25" customHeight="1">
      <c r="A37" s="710" t="s">
        <v>324</v>
      </c>
      <c r="B37" s="711">
        <v>24</v>
      </c>
      <c r="C37" s="712">
        <v>44389</v>
      </c>
      <c r="D37" s="713" t="s">
        <v>314</v>
      </c>
      <c r="E37" s="714">
        <v>2.3349113999999993</v>
      </c>
      <c r="F37" s="715" t="s">
        <v>315</v>
      </c>
      <c r="G37" s="711">
        <v>5</v>
      </c>
    </row>
    <row r="38" spans="1:7" s="488" customFormat="1" ht="14.25" customHeight="1">
      <c r="A38" s="710" t="s">
        <v>313</v>
      </c>
      <c r="B38" s="711">
        <v>24</v>
      </c>
      <c r="C38" s="712">
        <v>44389</v>
      </c>
      <c r="D38" s="713" t="s">
        <v>314</v>
      </c>
      <c r="E38" s="714">
        <v>0.65402595000000008</v>
      </c>
      <c r="F38" s="715" t="s">
        <v>315</v>
      </c>
      <c r="G38" s="711">
        <v>9</v>
      </c>
    </row>
    <row r="39" spans="1:7" s="488" customFormat="1" ht="14.25" customHeight="1">
      <c r="A39" s="710" t="s">
        <v>316</v>
      </c>
      <c r="B39" s="711">
        <v>24</v>
      </c>
      <c r="C39" s="712">
        <v>44389</v>
      </c>
      <c r="D39" s="713" t="s">
        <v>314</v>
      </c>
      <c r="E39" s="714">
        <v>0.70323639999999998</v>
      </c>
      <c r="F39" s="715" t="s">
        <v>315</v>
      </c>
      <c r="G39" s="711">
        <v>9</v>
      </c>
    </row>
    <row r="40" spans="1:7" s="488" customFormat="1" ht="14.25" customHeight="1">
      <c r="A40" s="710" t="s">
        <v>317</v>
      </c>
      <c r="B40" s="711">
        <v>24</v>
      </c>
      <c r="C40" s="712">
        <v>44396</v>
      </c>
      <c r="D40" s="713" t="s">
        <v>318</v>
      </c>
      <c r="E40" s="714">
        <v>0.73354839999999999</v>
      </c>
      <c r="F40" s="715" t="s">
        <v>323</v>
      </c>
      <c r="G40" s="711">
        <v>21</v>
      </c>
    </row>
    <row r="41" spans="1:7" s="488" customFormat="1" ht="14.25" customHeight="1">
      <c r="A41" s="710" t="s">
        <v>321</v>
      </c>
      <c r="B41" s="711">
        <v>24</v>
      </c>
      <c r="C41" s="712">
        <v>44396</v>
      </c>
      <c r="D41" s="713" t="s">
        <v>322</v>
      </c>
      <c r="E41" s="714">
        <v>3.2947680000000004</v>
      </c>
      <c r="F41" s="715" t="s">
        <v>315</v>
      </c>
      <c r="G41" s="711">
        <v>20</v>
      </c>
    </row>
    <row r="42" spans="1:7" s="488" customFormat="1" ht="14.25" customHeight="1">
      <c r="A42" s="710" t="s">
        <v>317</v>
      </c>
      <c r="B42" s="711">
        <v>24</v>
      </c>
      <c r="C42" s="712">
        <v>44405</v>
      </c>
      <c r="D42" s="713" t="s">
        <v>318</v>
      </c>
      <c r="E42" s="714">
        <v>0.84053200000000006</v>
      </c>
      <c r="F42" s="715" t="s">
        <v>323</v>
      </c>
      <c r="G42" s="711">
        <v>23</v>
      </c>
    </row>
    <row r="43" spans="1:7" s="488" customFormat="1" ht="14.25" customHeight="1">
      <c r="A43" s="710" t="s">
        <v>321</v>
      </c>
      <c r="B43" s="711">
        <v>24</v>
      </c>
      <c r="C43" s="712">
        <v>44405</v>
      </c>
      <c r="D43" s="713" t="s">
        <v>322</v>
      </c>
      <c r="E43" s="714">
        <v>2.5504420000000003</v>
      </c>
      <c r="F43" s="715" t="s">
        <v>315</v>
      </c>
      <c r="G43" s="711">
        <v>22</v>
      </c>
    </row>
    <row r="44" spans="1:7" ht="14.25" customHeight="1">
      <c r="A44" s="710" t="s">
        <v>317</v>
      </c>
      <c r="B44" s="711">
        <v>24</v>
      </c>
      <c r="C44" s="712">
        <v>44406</v>
      </c>
      <c r="D44" s="713" t="s">
        <v>318</v>
      </c>
      <c r="E44" s="714">
        <v>0.77588670000000004</v>
      </c>
      <c r="F44" s="715" t="s">
        <v>323</v>
      </c>
      <c r="G44" s="711">
        <v>25</v>
      </c>
    </row>
    <row r="45" spans="1:7" ht="14.25" customHeight="1">
      <c r="A45" s="710" t="s">
        <v>321</v>
      </c>
      <c r="B45" s="711">
        <v>24</v>
      </c>
      <c r="C45" s="712">
        <v>44406</v>
      </c>
      <c r="D45" s="713" t="s">
        <v>322</v>
      </c>
      <c r="E45" s="714">
        <v>2.6163205</v>
      </c>
      <c r="F45" s="715" t="s">
        <v>315</v>
      </c>
      <c r="G45" s="711">
        <v>24</v>
      </c>
    </row>
    <row r="46" spans="1:7" ht="14.25" customHeight="1">
      <c r="A46" s="710" t="s">
        <v>313</v>
      </c>
      <c r="B46" s="711">
        <v>24</v>
      </c>
      <c r="C46" s="712">
        <v>44406</v>
      </c>
      <c r="D46" s="713" t="s">
        <v>314</v>
      </c>
      <c r="E46" s="714">
        <v>-0.24348183333333331</v>
      </c>
      <c r="F46" s="715" t="s">
        <v>325</v>
      </c>
      <c r="G46" s="711">
        <v>12</v>
      </c>
    </row>
    <row r="47" spans="1:7" ht="14.25" customHeight="1">
      <c r="A47" s="710" t="s">
        <v>316</v>
      </c>
      <c r="B47" s="711">
        <v>24</v>
      </c>
      <c r="C47" s="712">
        <v>44406</v>
      </c>
      <c r="D47" s="713" t="s">
        <v>314</v>
      </c>
      <c r="E47" s="714">
        <v>0.29244086666666669</v>
      </c>
      <c r="F47" s="715" t="s">
        <v>325</v>
      </c>
      <c r="G47" s="711">
        <v>12</v>
      </c>
    </row>
    <row r="48" spans="1:7" ht="14.25" customHeight="1">
      <c r="A48" s="710" t="s">
        <v>317</v>
      </c>
      <c r="B48" s="711">
        <v>24</v>
      </c>
      <c r="C48" s="712">
        <v>44407</v>
      </c>
      <c r="D48" s="713" t="s">
        <v>318</v>
      </c>
      <c r="E48" s="714">
        <v>0.76378650000000003</v>
      </c>
      <c r="F48" s="715" t="s">
        <v>327</v>
      </c>
      <c r="G48" s="711">
        <v>29</v>
      </c>
    </row>
    <row r="49" spans="1:7" ht="14.25" customHeight="1">
      <c r="A49" s="710" t="s">
        <v>321</v>
      </c>
      <c r="B49" s="711">
        <v>24</v>
      </c>
      <c r="C49" s="712">
        <v>44407</v>
      </c>
      <c r="D49" s="713" t="s">
        <v>322</v>
      </c>
      <c r="E49" s="714">
        <v>3.6944135</v>
      </c>
      <c r="F49" s="715" t="s">
        <v>328</v>
      </c>
      <c r="G49" s="711">
        <v>28</v>
      </c>
    </row>
    <row r="50" spans="1:7" ht="14.25" customHeight="1">
      <c r="A50" s="710" t="s">
        <v>324</v>
      </c>
      <c r="B50" s="711">
        <v>24</v>
      </c>
      <c r="C50" s="712">
        <v>44406</v>
      </c>
      <c r="D50" s="713" t="s">
        <v>314</v>
      </c>
      <c r="E50" s="714">
        <v>2.3803409999999992</v>
      </c>
      <c r="F50" s="715" t="s">
        <v>325</v>
      </c>
      <c r="G50" s="711">
        <v>8</v>
      </c>
    </row>
    <row r="52" spans="1:7" ht="14.25" customHeight="1">
      <c r="A52" s="492" t="s">
        <v>63</v>
      </c>
    </row>
    <row r="53" spans="1:7" ht="14.25" customHeight="1">
      <c r="A53" s="632" t="s">
        <v>351</v>
      </c>
    </row>
    <row r="54" spans="1:7" ht="14.25" customHeight="1">
      <c r="A54" s="716" t="s">
        <v>352</v>
      </c>
    </row>
    <row r="55" spans="1:7" ht="14.25" customHeight="1">
      <c r="A55" s="717" t="s">
        <v>353</v>
      </c>
    </row>
    <row r="56" spans="1:7" ht="14.25" customHeight="1">
      <c r="A56" s="438" t="s">
        <v>64</v>
      </c>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topLeftCell="A7" zoomScale="80" zoomScaleNormal="80" workbookViewId="0">
      <selection activeCell="G17" sqref="G17"/>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33" t="s">
        <v>39</v>
      </c>
      <c r="C2" s="43"/>
      <c r="D2" s="43"/>
      <c r="E2" s="334"/>
      <c r="F2" s="334"/>
      <c r="G2" s="334"/>
      <c r="H2" s="334"/>
      <c r="I2" s="334"/>
      <c r="J2" s="334"/>
      <c r="K2" s="334"/>
      <c r="L2" s="334"/>
      <c r="M2" s="334"/>
    </row>
    <row r="3" spans="1:13" ht="18">
      <c r="B3" s="745" t="s">
        <v>112</v>
      </c>
      <c r="C3" s="745"/>
      <c r="D3" s="745"/>
      <c r="E3" s="745"/>
      <c r="F3" s="745"/>
      <c r="G3" s="745"/>
      <c r="H3" s="745"/>
      <c r="I3" s="745"/>
      <c r="J3" s="745"/>
      <c r="K3" s="745"/>
      <c r="L3" s="745"/>
      <c r="M3" s="745"/>
    </row>
    <row r="4" spans="1:13" ht="18">
      <c r="A4" s="163"/>
      <c r="B4" s="43"/>
      <c r="C4" s="43"/>
      <c r="D4" s="43"/>
      <c r="E4" s="43"/>
      <c r="F4" s="335"/>
      <c r="G4" s="746" t="str">
        <f>'Program MW '!H3</f>
        <v>July 2021</v>
      </c>
      <c r="H4" s="746"/>
      <c r="I4" s="335"/>
      <c r="J4" s="43"/>
      <c r="K4" s="43"/>
      <c r="L4" s="43"/>
      <c r="M4" s="43"/>
    </row>
    <row r="5" spans="1:13">
      <c r="B5" s="199"/>
      <c r="C5" s="199"/>
      <c r="D5" s="199"/>
    </row>
    <row r="7" spans="1:13" ht="21.75" customHeight="1">
      <c r="A7" s="94"/>
      <c r="B7" s="164" t="s">
        <v>10</v>
      </c>
      <c r="C7" s="164" t="s">
        <v>28</v>
      </c>
      <c r="D7" s="164" t="s">
        <v>43</v>
      </c>
      <c r="E7" s="164" t="s">
        <v>44</v>
      </c>
      <c r="F7" s="164" t="s">
        <v>113</v>
      </c>
      <c r="G7" s="164" t="s">
        <v>45</v>
      </c>
      <c r="H7" s="164" t="s">
        <v>59</v>
      </c>
      <c r="I7" s="164" t="s">
        <v>66</v>
      </c>
      <c r="J7" s="164" t="s">
        <v>67</v>
      </c>
      <c r="K7" s="164" t="s">
        <v>61</v>
      </c>
      <c r="L7" s="164" t="s">
        <v>68</v>
      </c>
      <c r="M7" s="165" t="s">
        <v>62</v>
      </c>
    </row>
    <row r="8" spans="1:13" ht="26">
      <c r="A8" s="275" t="s">
        <v>114</v>
      </c>
      <c r="B8" s="294" t="s">
        <v>86</v>
      </c>
      <c r="C8" s="128" t="s">
        <v>86</v>
      </c>
      <c r="D8" s="128" t="s">
        <v>86</v>
      </c>
      <c r="E8" s="128" t="s">
        <v>86</v>
      </c>
      <c r="F8" s="128" t="s">
        <v>86</v>
      </c>
      <c r="G8" s="128" t="s">
        <v>86</v>
      </c>
      <c r="H8" s="128" t="s">
        <v>86</v>
      </c>
      <c r="I8" s="128" t="s">
        <v>86</v>
      </c>
      <c r="J8" s="128" t="s">
        <v>86</v>
      </c>
      <c r="K8" s="128" t="s">
        <v>86</v>
      </c>
      <c r="L8" s="128" t="s">
        <v>115</v>
      </c>
      <c r="M8" s="128" t="s">
        <v>115</v>
      </c>
    </row>
    <row r="9" spans="1:13">
      <c r="A9" s="293" t="s">
        <v>89</v>
      </c>
      <c r="B9" s="295">
        <v>1.23E-2</v>
      </c>
      <c r="C9" s="295">
        <v>1.23E-2</v>
      </c>
      <c r="D9" s="295">
        <v>9.0899999999999995E-2</v>
      </c>
      <c r="E9" s="295">
        <v>9.0899999999999995E-2</v>
      </c>
      <c r="F9" s="295">
        <v>9.0899999999999995E-2</v>
      </c>
      <c r="G9" s="295">
        <v>9.0899999999999995E-2</v>
      </c>
      <c r="H9" s="295">
        <v>0</v>
      </c>
      <c r="I9" s="295">
        <v>0</v>
      </c>
      <c r="J9" s="295">
        <v>0</v>
      </c>
      <c r="K9" s="295">
        <v>0</v>
      </c>
      <c r="L9" s="295">
        <v>0</v>
      </c>
      <c r="M9" s="295">
        <v>0</v>
      </c>
    </row>
    <row r="10" spans="1:13">
      <c r="A10" s="293" t="s">
        <v>90</v>
      </c>
      <c r="B10" s="295">
        <v>0</v>
      </c>
      <c r="C10" s="295">
        <v>0</v>
      </c>
      <c r="D10" s="295">
        <v>0</v>
      </c>
      <c r="E10" s="295">
        <v>0</v>
      </c>
      <c r="F10" s="295">
        <v>0</v>
      </c>
      <c r="G10" s="295">
        <v>0</v>
      </c>
      <c r="H10" s="295">
        <v>0</v>
      </c>
      <c r="I10" s="295">
        <v>0</v>
      </c>
      <c r="J10" s="295">
        <v>0</v>
      </c>
      <c r="K10" s="295">
        <v>0</v>
      </c>
      <c r="L10" s="295">
        <v>0</v>
      </c>
      <c r="M10" s="295">
        <v>0</v>
      </c>
    </row>
    <row r="11" spans="1:13">
      <c r="A11" s="167" t="s">
        <v>116</v>
      </c>
      <c r="B11" s="295">
        <v>0</v>
      </c>
      <c r="C11" s="295">
        <v>0</v>
      </c>
      <c r="D11" s="295">
        <v>0</v>
      </c>
      <c r="E11" s="295">
        <v>0</v>
      </c>
      <c r="F11" s="295">
        <v>0</v>
      </c>
      <c r="G11" s="295">
        <v>0</v>
      </c>
      <c r="H11" s="295">
        <v>0</v>
      </c>
      <c r="I11" s="295">
        <v>0</v>
      </c>
      <c r="J11" s="295">
        <v>0</v>
      </c>
      <c r="K11" s="295">
        <v>0</v>
      </c>
      <c r="L11" s="295">
        <v>0</v>
      </c>
      <c r="M11" s="295">
        <v>0</v>
      </c>
    </row>
    <row r="12" spans="1:13">
      <c r="A12" s="167" t="s">
        <v>117</v>
      </c>
      <c r="B12" s="295">
        <v>0</v>
      </c>
      <c r="C12" s="295">
        <v>0</v>
      </c>
      <c r="D12" s="295">
        <v>0</v>
      </c>
      <c r="E12" s="295">
        <v>0</v>
      </c>
      <c r="F12" s="295">
        <v>0</v>
      </c>
      <c r="G12" s="295">
        <v>0</v>
      </c>
      <c r="H12" s="295">
        <v>0</v>
      </c>
      <c r="I12" s="295">
        <v>0</v>
      </c>
      <c r="J12" s="295">
        <v>0</v>
      </c>
      <c r="K12" s="295">
        <v>0</v>
      </c>
      <c r="L12" s="295">
        <v>0</v>
      </c>
      <c r="M12" s="295">
        <v>0</v>
      </c>
    </row>
    <row r="13" spans="1:13" s="43" customFormat="1" ht="13">
      <c r="A13" s="166" t="s">
        <v>91</v>
      </c>
      <c r="B13" s="106">
        <f t="shared" ref="B13:G13" si="0">SUM(B9:B12)</f>
        <v>1.23E-2</v>
      </c>
      <c r="C13" s="106">
        <f t="shared" si="0"/>
        <v>1.23E-2</v>
      </c>
      <c r="D13" s="106">
        <f t="shared" si="0"/>
        <v>9.0899999999999995E-2</v>
      </c>
      <c r="E13" s="106">
        <f t="shared" si="0"/>
        <v>9.0899999999999995E-2</v>
      </c>
      <c r="F13" s="106">
        <f t="shared" ref="F13" si="1">SUM(F9:F12)</f>
        <v>9.0899999999999995E-2</v>
      </c>
      <c r="G13" s="106">
        <f t="shared" si="0"/>
        <v>9.0899999999999995E-2</v>
      </c>
      <c r="H13" s="60">
        <f t="shared" ref="H13" si="2">SUM(H9:H12)</f>
        <v>0</v>
      </c>
      <c r="I13" s="60">
        <f t="shared" ref="I13:M13" si="3">SUM(I9:I12)</f>
        <v>0</v>
      </c>
      <c r="J13" s="60">
        <f t="shared" si="3"/>
        <v>0</v>
      </c>
      <c r="K13" s="60">
        <f>SUM(K9:K12)</f>
        <v>0</v>
      </c>
      <c r="L13" s="60">
        <f>SUM(L9:L12)</f>
        <v>0</v>
      </c>
      <c r="M13" s="60">
        <f t="shared" si="3"/>
        <v>0</v>
      </c>
    </row>
    <row r="14" spans="1:13" s="51" customFormat="1" ht="13">
      <c r="A14" s="43"/>
      <c r="B14" s="47"/>
      <c r="C14" s="49"/>
      <c r="D14" s="49"/>
      <c r="E14" s="49"/>
      <c r="F14" s="49"/>
      <c r="G14" s="49"/>
    </row>
    <row r="15" spans="1:13" ht="14">
      <c r="A15" s="247" t="s">
        <v>63</v>
      </c>
      <c r="G15" s="45"/>
    </row>
    <row r="16" spans="1:13" ht="15.5">
      <c r="A16" s="368" t="s">
        <v>118</v>
      </c>
      <c r="B16" s="199"/>
      <c r="C16" s="199"/>
      <c r="D16" s="285"/>
      <c r="E16" s="285"/>
      <c r="F16" s="285"/>
      <c r="G16" s="199"/>
      <c r="H16" s="199"/>
      <c r="I16" s="199"/>
      <c r="J16" s="199"/>
      <c r="K16" s="199"/>
    </row>
    <row r="17" spans="1:14" ht="15.5">
      <c r="A17" s="367"/>
    </row>
    <row r="20" spans="1:14" ht="21.75" customHeight="1">
      <c r="A20" s="94"/>
      <c r="B20" s="164" t="s">
        <v>10</v>
      </c>
      <c r="C20" s="164" t="s">
        <v>28</v>
      </c>
      <c r="D20" s="164" t="s">
        <v>43</v>
      </c>
      <c r="E20" s="164" t="s">
        <v>44</v>
      </c>
      <c r="F20" s="164" t="s">
        <v>113</v>
      </c>
      <c r="G20" s="164" t="s">
        <v>45</v>
      </c>
      <c r="H20" s="164" t="s">
        <v>59</v>
      </c>
      <c r="I20" s="164" t="s">
        <v>66</v>
      </c>
      <c r="J20" s="164" t="s">
        <v>67</v>
      </c>
      <c r="K20" s="164" t="s">
        <v>61</v>
      </c>
      <c r="L20" s="164" t="s">
        <v>68</v>
      </c>
      <c r="M20" s="165" t="s">
        <v>62</v>
      </c>
      <c r="N20" s="337"/>
    </row>
    <row r="21" spans="1:14" ht="52">
      <c r="A21" s="274" t="s">
        <v>114</v>
      </c>
      <c r="B21" s="128" t="s">
        <v>119</v>
      </c>
      <c r="C21" s="128" t="str">
        <f>B21</f>
        <v>Technology Deployment- Residential MWs</v>
      </c>
      <c r="D21" s="128" t="str">
        <f>B21</f>
        <v>Technology Deployment- Residential MWs</v>
      </c>
      <c r="E21" s="128" t="str">
        <f t="shared" ref="E21:M21" si="4">C21</f>
        <v>Technology Deployment- Residential MWs</v>
      </c>
      <c r="F21" s="128" t="str">
        <f t="shared" si="4"/>
        <v>Technology Deployment- Residential MWs</v>
      </c>
      <c r="G21" s="128" t="str">
        <f t="shared" si="4"/>
        <v>Technology Deployment- Residential MWs</v>
      </c>
      <c r="H21" s="128" t="str">
        <f t="shared" si="4"/>
        <v>Technology Deployment- Residential MWs</v>
      </c>
      <c r="I21" s="128" t="str">
        <f t="shared" si="4"/>
        <v>Technology Deployment- Residential MWs</v>
      </c>
      <c r="J21" s="128" t="str">
        <f t="shared" si="4"/>
        <v>Technology Deployment- Residential MWs</v>
      </c>
      <c r="K21" s="128" t="str">
        <f t="shared" si="4"/>
        <v>Technology Deployment- Residential MWs</v>
      </c>
      <c r="L21" s="128" t="str">
        <f t="shared" si="4"/>
        <v>Technology Deployment- Residential MWs</v>
      </c>
      <c r="M21" s="128" t="str">
        <f t="shared" si="4"/>
        <v>Technology Deployment- Residential MWs</v>
      </c>
      <c r="N21" s="337"/>
    </row>
    <row r="22" spans="1:14">
      <c r="A22" s="167" t="s">
        <v>17</v>
      </c>
      <c r="B22" s="57">
        <f>'Program MW '!D14</f>
        <v>5.5603200000000008</v>
      </c>
      <c r="C22" s="57">
        <f>'Program MW '!G14</f>
        <v>5.5289600000000005</v>
      </c>
      <c r="D22" s="57">
        <f>'Program MW '!J14</f>
        <v>5.1198614791035659</v>
      </c>
      <c r="E22" s="57">
        <f>'Program MW '!M14</f>
        <v>5.1898279145658019</v>
      </c>
      <c r="F22" s="57">
        <f>'Program MW '!P14</f>
        <v>5.1438842895627026</v>
      </c>
      <c r="G22" s="57">
        <f>'Program MW '!S14</f>
        <v>4.3910694667994976</v>
      </c>
      <c r="H22" s="57">
        <f>'Program MW '!D36</f>
        <v>4.4907641302049166</v>
      </c>
      <c r="I22" s="57">
        <v>0</v>
      </c>
      <c r="J22" s="57">
        <v>0</v>
      </c>
      <c r="K22" s="57">
        <v>0</v>
      </c>
      <c r="L22" s="57">
        <v>0</v>
      </c>
      <c r="M22" s="57">
        <v>0</v>
      </c>
      <c r="N22" s="337"/>
    </row>
    <row r="23" spans="1:14">
      <c r="A23" s="167" t="s">
        <v>27</v>
      </c>
      <c r="B23" s="57">
        <f>'Ex post LI &amp; Eligibility Stats'!B11*1203/1000</f>
        <v>0.38496000000000002</v>
      </c>
      <c r="C23" s="57">
        <f>'Ex post LI &amp; Eligibility Stats'!C11*1269/1000</f>
        <v>0.40608</v>
      </c>
      <c r="D23" s="57">
        <f>'Ex post LI &amp; Eligibility Stats'!D11*1142/1000</f>
        <v>0.34292561930418014</v>
      </c>
      <c r="E23" s="57">
        <f>'Ex post LI &amp; Eligibility Stats'!E11*1150/1000</f>
        <v>0.34532790035009386</v>
      </c>
      <c r="F23" s="57">
        <f>'Ex post LI &amp; Eligibility Stats'!F11*1131/1000</f>
        <v>0.33962248286604879</v>
      </c>
      <c r="G23" s="57">
        <f>'Ex post LI &amp; Eligibility Stats'!G11*1000/1000</f>
        <v>0.30028513073921204</v>
      </c>
      <c r="H23" s="57">
        <f>'Ex post LI &amp; Eligibility Stats'!H11*1012/1000</f>
        <v>0.30388855230808259</v>
      </c>
      <c r="I23" s="57">
        <v>0</v>
      </c>
      <c r="J23" s="57">
        <v>0</v>
      </c>
      <c r="K23" s="57">
        <v>0</v>
      </c>
      <c r="L23" s="57">
        <v>0</v>
      </c>
      <c r="M23" s="57">
        <v>0</v>
      </c>
    </row>
    <row r="24" spans="1:14">
      <c r="A24" s="167" t="s">
        <v>117</v>
      </c>
      <c r="B24" s="57">
        <f>'Ex post LI &amp; Eligibility Stats'!B11*1929/1000</f>
        <v>0.61727999999999994</v>
      </c>
      <c r="C24" s="57">
        <f>'Ex post LI &amp; Eligibility Stats'!C11*1911/1000</f>
        <v>0.61151999999999995</v>
      </c>
      <c r="D24" s="57">
        <f>'Ex post LI &amp; Eligibility Stats'!D11*1490/1000</f>
        <v>0.44742484480142591</v>
      </c>
      <c r="E24" s="57">
        <f>'Ex post LI &amp; Eligibility Stats'!E11*1490/1000</f>
        <v>0.44742484480142591</v>
      </c>
      <c r="F24" s="57">
        <f>'Ex post LI &amp; Eligibility Stats'!F11*1490/1000</f>
        <v>0.44742484480142591</v>
      </c>
      <c r="G24" s="57">
        <f>'Ex post LI &amp; Eligibility Stats'!G11*1490/1000</f>
        <v>0.44742484480142591</v>
      </c>
      <c r="H24" s="57">
        <f>'Ex post LI &amp; Eligibility Stats'!H11*1490/1000</f>
        <v>0.44742484480142591</v>
      </c>
      <c r="I24" s="57">
        <v>0</v>
      </c>
      <c r="J24" s="57">
        <v>0</v>
      </c>
      <c r="K24" s="57">
        <v>0</v>
      </c>
      <c r="L24" s="57">
        <v>0</v>
      </c>
      <c r="M24" s="57">
        <v>0</v>
      </c>
    </row>
    <row r="25" spans="1:14" s="43" customFormat="1" ht="13">
      <c r="A25" s="166" t="s">
        <v>91</v>
      </c>
      <c r="B25" s="106">
        <f t="shared" ref="B25:H25" si="5">SUM(B22:B24)</f>
        <v>6.5625600000000013</v>
      </c>
      <c r="C25" s="60">
        <f t="shared" si="5"/>
        <v>6.5465600000000004</v>
      </c>
      <c r="D25" s="60">
        <f t="shared" si="5"/>
        <v>5.9102119432091724</v>
      </c>
      <c r="E25" s="60">
        <f t="shared" ref="E25" si="6">SUM(E22:E24)</f>
        <v>5.9825806597173221</v>
      </c>
      <c r="F25" s="60">
        <f t="shared" ref="F25" si="7">SUM(F22:F24)</f>
        <v>5.9309316172301774</v>
      </c>
      <c r="G25" s="60">
        <f t="shared" si="5"/>
        <v>5.1387794423401356</v>
      </c>
      <c r="H25" s="60">
        <f t="shared" si="5"/>
        <v>5.2420775273144251</v>
      </c>
      <c r="I25" s="60">
        <f t="shared" ref="I25:J25" si="8">SUM(I22:I24)</f>
        <v>0</v>
      </c>
      <c r="J25" s="60">
        <f t="shared" si="8"/>
        <v>0</v>
      </c>
      <c r="K25" s="60">
        <f>SUM(K22:K24)</f>
        <v>0</v>
      </c>
      <c r="L25" s="60">
        <f>SUM(L22:L24)</f>
        <v>0</v>
      </c>
      <c r="M25" s="60">
        <f t="shared" ref="M25" si="9">SUM(M22:M24)</f>
        <v>0</v>
      </c>
    </row>
    <row r="26" spans="1:14" s="51" customFormat="1" ht="13">
      <c r="A26" s="43"/>
      <c r="B26" s="47"/>
      <c r="C26" s="49"/>
      <c r="D26" s="49"/>
      <c r="E26" s="49"/>
      <c r="F26" s="49"/>
      <c r="G26" s="49"/>
    </row>
    <row r="27" spans="1:14" ht="14">
      <c r="A27" s="247" t="s">
        <v>63</v>
      </c>
      <c r="G27" s="45"/>
    </row>
    <row r="28" spans="1:14" ht="15.5">
      <c r="A28" s="366" t="s">
        <v>120</v>
      </c>
      <c r="G28" s="45"/>
    </row>
    <row r="29" spans="1:14" ht="15.5">
      <c r="A29" s="367"/>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113</v>
      </c>
      <c r="G31" s="164" t="s">
        <v>45</v>
      </c>
      <c r="H31" s="164" t="s">
        <v>59</v>
      </c>
      <c r="I31" s="164" t="s">
        <v>66</v>
      </c>
      <c r="J31" s="164" t="s">
        <v>67</v>
      </c>
      <c r="K31" s="164" t="s">
        <v>61</v>
      </c>
      <c r="L31" s="164" t="s">
        <v>68</v>
      </c>
      <c r="M31" s="165" t="s">
        <v>62</v>
      </c>
    </row>
    <row r="32" spans="1:14" ht="52">
      <c r="A32" s="274" t="s">
        <v>114</v>
      </c>
      <c r="B32" s="128" t="s">
        <v>121</v>
      </c>
      <c r="C32" s="128" t="str">
        <f>B32</f>
        <v>Technology Deployment- Commercial MWs</v>
      </c>
      <c r="D32" s="128" t="str">
        <f>B32</f>
        <v>Technology Deployment- Commercial MWs</v>
      </c>
      <c r="E32" s="128" t="str">
        <f t="shared" ref="E32" si="10">C32</f>
        <v>Technology Deployment- Commercial MWs</v>
      </c>
      <c r="F32" s="128" t="str">
        <f t="shared" ref="F32" si="11">D32</f>
        <v>Technology Deployment- Commercial MWs</v>
      </c>
      <c r="G32" s="128" t="str">
        <f t="shared" ref="G32" si="12">E32</f>
        <v>Technology Deployment- Commercial MWs</v>
      </c>
      <c r="H32" s="128" t="str">
        <f t="shared" ref="H32" si="13">F32</f>
        <v>Technology Deployment- Commercial MWs</v>
      </c>
      <c r="I32" s="128" t="s">
        <v>122</v>
      </c>
      <c r="J32" s="128" t="str">
        <f t="shared" ref="J32" si="14">H32</f>
        <v>Technology Deployment- Commercial MWs</v>
      </c>
      <c r="K32" s="128" t="str">
        <f>B32</f>
        <v>Technology Deployment- Commercial MWs</v>
      </c>
      <c r="L32" s="128" t="s">
        <v>122</v>
      </c>
      <c r="M32" s="128" t="str">
        <f t="shared" ref="M32" si="15">K32</f>
        <v>Technology Deployment- Commercial MWs</v>
      </c>
    </row>
    <row r="33" spans="1:13">
      <c r="A33" s="167" t="s">
        <v>20</v>
      </c>
      <c r="B33" s="57">
        <f>'Program MW '!D15</f>
        <v>0.32384000000000002</v>
      </c>
      <c r="C33" s="57">
        <f>'Program MW '!G15</f>
        <v>0.32384000000000002</v>
      </c>
      <c r="D33" s="57">
        <f>'Program MW '!J15</f>
        <v>0.12431036806106567</v>
      </c>
      <c r="E33" s="57">
        <f>'Program MW '!M15</f>
        <v>0.12431036806106567</v>
      </c>
      <c r="F33" s="57">
        <f>'Program MW '!P15</f>
        <v>0.11874423217773437</v>
      </c>
      <c r="G33" s="57">
        <f>'Program MW '!S15</f>
        <v>0.10946733903884888</v>
      </c>
      <c r="H33" s="57">
        <f>'Program MW '!D37</f>
        <v>0.11549731957912444</v>
      </c>
      <c r="I33" s="57">
        <v>0</v>
      </c>
      <c r="J33" s="57">
        <v>0</v>
      </c>
      <c r="K33" s="57">
        <v>0</v>
      </c>
      <c r="L33" s="57">
        <v>0</v>
      </c>
      <c r="M33" s="57">
        <v>0</v>
      </c>
    </row>
    <row r="34" spans="1:13">
      <c r="A34" s="167" t="s">
        <v>26</v>
      </c>
      <c r="B34" s="57">
        <f>'Ex post LI &amp; Eligibility Stats'!B12*741/1000</f>
        <v>0.34086</v>
      </c>
      <c r="C34" s="57">
        <f>'Ex post LI &amp; Eligibility Stats'!C12*738/1000</f>
        <v>0.33948</v>
      </c>
      <c r="D34" s="57">
        <f>'Ex post LI &amp; Eligibility Stats'!D12*483/1000</f>
        <v>0.22403696930408479</v>
      </c>
      <c r="E34" s="57">
        <f>'Ex post LI &amp; Eligibility Stats'!E12*483/1000</f>
        <v>0.22403696930408479</v>
      </c>
      <c r="F34" s="57">
        <f>'Ex post LI &amp; Eligibility Stats'!F12*472/1000</f>
        <v>0.21893467807769776</v>
      </c>
      <c r="G34" s="57">
        <f>'Ex post LI &amp; Eligibility Stats'!G12*396/1000</f>
        <v>0.18368248414993285</v>
      </c>
      <c r="H34" s="57">
        <f>'Ex post LI &amp; Eligibility Stats'!H12*398/1000</f>
        <v>0.18461017346382141</v>
      </c>
      <c r="I34" s="57">
        <v>0</v>
      </c>
      <c r="J34" s="57">
        <v>0</v>
      </c>
      <c r="K34" s="57">
        <v>0</v>
      </c>
      <c r="L34" s="57">
        <v>0</v>
      </c>
      <c r="M34" s="57">
        <v>0</v>
      </c>
    </row>
    <row r="35" spans="1:13">
      <c r="A35" s="434" t="s">
        <v>55</v>
      </c>
      <c r="B35" s="413">
        <v>0</v>
      </c>
      <c r="C35" s="413">
        <v>0</v>
      </c>
      <c r="D35" s="413">
        <v>0</v>
      </c>
      <c r="E35" s="413">
        <v>0</v>
      </c>
      <c r="F35" s="413">
        <v>0</v>
      </c>
      <c r="G35" s="413">
        <v>0</v>
      </c>
      <c r="H35" s="678">
        <v>0</v>
      </c>
      <c r="I35" s="57">
        <v>0</v>
      </c>
      <c r="J35" s="57">
        <v>0</v>
      </c>
      <c r="K35" s="57">
        <v>0</v>
      </c>
      <c r="L35" s="57">
        <v>0</v>
      </c>
      <c r="M35" s="57">
        <v>0</v>
      </c>
    </row>
    <row r="36" spans="1:13">
      <c r="A36" s="167" t="s">
        <v>89</v>
      </c>
      <c r="B36" s="57">
        <f>'Ex post LI &amp; Eligibility Stats'!B12*364/1000</f>
        <v>0.16744000000000001</v>
      </c>
      <c r="C36" s="57">
        <f>'Ex post LI &amp; Eligibility Stats'!C12*360/1000</f>
        <v>0.1656</v>
      </c>
      <c r="D36" s="57">
        <f>'Ex post LI &amp; Eligibility Stats'!D12*297/1000</f>
        <v>0.13776186311244965</v>
      </c>
      <c r="E36" s="57">
        <f>'Ex post LI &amp; Eligibility Stats'!E12*294/1000</f>
        <v>0.13637032914161681</v>
      </c>
      <c r="F36" s="57">
        <f>'Ex post LI &amp; Eligibility Stats'!F12*280/1000</f>
        <v>0.12987650394439698</v>
      </c>
      <c r="G36" s="57">
        <f>'Ex post LI &amp; Eligibility Stats'!G12*235/1000</f>
        <v>0.1090034943819046</v>
      </c>
      <c r="H36" s="57">
        <f>'Ex post LI &amp; Eligibility Stats'!H12*233/1000</f>
        <v>0.10807580506801605</v>
      </c>
      <c r="I36" s="57">
        <v>0</v>
      </c>
      <c r="J36" s="57">
        <v>0</v>
      </c>
      <c r="K36" s="57">
        <v>0</v>
      </c>
      <c r="L36" s="57">
        <v>0</v>
      </c>
      <c r="M36" s="57">
        <v>0</v>
      </c>
    </row>
    <row r="37" spans="1:13">
      <c r="A37" s="167" t="s">
        <v>90</v>
      </c>
      <c r="B37" s="57">
        <v>0</v>
      </c>
      <c r="C37" s="57">
        <v>0</v>
      </c>
      <c r="D37" s="57">
        <f>'Program MW '!F18</f>
        <v>0</v>
      </c>
      <c r="E37" s="57">
        <f>'Program MW '!G18</f>
        <v>0</v>
      </c>
      <c r="F37" s="57">
        <v>0</v>
      </c>
      <c r="G37" s="57">
        <v>0</v>
      </c>
      <c r="H37" s="57">
        <v>0</v>
      </c>
      <c r="I37" s="57">
        <v>0</v>
      </c>
      <c r="J37" s="57">
        <v>0</v>
      </c>
      <c r="K37" s="57">
        <v>0</v>
      </c>
      <c r="L37" s="57">
        <v>0</v>
      </c>
      <c r="M37" s="57">
        <v>0</v>
      </c>
    </row>
    <row r="38" spans="1:13">
      <c r="A38" s="167" t="s">
        <v>116</v>
      </c>
      <c r="B38" s="57">
        <f>'Ex post LI &amp; Eligibility Stats'!B14*570/1000</f>
        <v>2.8500000000000001E-2</v>
      </c>
      <c r="C38" s="57">
        <f>'Ex post LI &amp; Eligibility Stats'!C14*570/1000</f>
        <v>2.8500000000000001E-2</v>
      </c>
      <c r="D38" s="57">
        <f>'Program MW '!F19</f>
        <v>0</v>
      </c>
      <c r="E38" s="57">
        <f>'Program MW '!G19</f>
        <v>0</v>
      </c>
      <c r="F38" s="57">
        <v>0</v>
      </c>
      <c r="G38" s="57">
        <v>0</v>
      </c>
      <c r="H38" s="57">
        <v>0</v>
      </c>
      <c r="I38" s="57">
        <v>0</v>
      </c>
      <c r="J38" s="57">
        <v>0</v>
      </c>
      <c r="K38" s="57">
        <v>0</v>
      </c>
      <c r="L38" s="57">
        <v>0</v>
      </c>
      <c r="M38" s="57">
        <v>0</v>
      </c>
    </row>
    <row r="39" spans="1:13">
      <c r="A39" s="167" t="s">
        <v>117</v>
      </c>
      <c r="B39" s="57">
        <f>'Ex post LI &amp; Eligibility Stats'!B15*2/1000</f>
        <v>3.5999999999999997E-2</v>
      </c>
      <c r="C39" s="57">
        <f>'Ex post LI &amp; Eligibility Stats'!C15*2/1000</f>
        <v>3.5999999999999997E-2</v>
      </c>
      <c r="D39" s="57">
        <f>'Ex post LI &amp; Eligibility Stats'!D15*1/1000</f>
        <v>1.7953320000000002E-2</v>
      </c>
      <c r="E39" s="57">
        <f>'Ex post LI &amp; Eligibility Stats'!E15*1/1000</f>
        <v>1.7953320000000002E-2</v>
      </c>
      <c r="F39" s="57">
        <v>0</v>
      </c>
      <c r="G39" s="57">
        <v>0</v>
      </c>
      <c r="H39" s="57">
        <v>0</v>
      </c>
      <c r="I39" s="57">
        <v>0</v>
      </c>
      <c r="J39" s="57">
        <v>0</v>
      </c>
      <c r="K39" s="57">
        <v>0</v>
      </c>
      <c r="L39" s="57">
        <v>0</v>
      </c>
      <c r="M39" s="57">
        <v>0</v>
      </c>
    </row>
    <row r="40" spans="1:13" s="43" customFormat="1" ht="13">
      <c r="A40" s="166" t="s">
        <v>91</v>
      </c>
      <c r="B40" s="106">
        <f t="shared" ref="B40:C40" si="16">SUM(B33:B39)</f>
        <v>0.8966400000000001</v>
      </c>
      <c r="C40" s="106">
        <f t="shared" si="16"/>
        <v>0.89341999999999999</v>
      </c>
      <c r="D40" s="106">
        <f t="shared" ref="D40:M40" si="17">SUM(D33:D39)</f>
        <v>0.50406252047760014</v>
      </c>
      <c r="E40" s="106">
        <f t="shared" ref="E40" si="18">SUM(E33:E39)</f>
        <v>0.50267098650676734</v>
      </c>
      <c r="F40" s="106">
        <f t="shared" ref="F40" si="19">SUM(F33:F39)</f>
        <v>0.4675554141998291</v>
      </c>
      <c r="G40" s="106">
        <f t="shared" si="17"/>
        <v>0.40215331757068634</v>
      </c>
      <c r="H40" s="106">
        <f t="shared" si="17"/>
        <v>0.40818329811096193</v>
      </c>
      <c r="I40" s="106">
        <f t="shared" si="17"/>
        <v>0</v>
      </c>
      <c r="J40" s="106">
        <f t="shared" ref="J40" si="20">SUM(J33:J39)</f>
        <v>0</v>
      </c>
      <c r="K40" s="106">
        <f>SUM(K33:K39)</f>
        <v>0</v>
      </c>
      <c r="L40" s="106">
        <f>SUM(L33:L39)</f>
        <v>0</v>
      </c>
      <c r="M40" s="106">
        <f t="shared" si="17"/>
        <v>0</v>
      </c>
    </row>
    <row r="41" spans="1:13">
      <c r="C41" s="45"/>
      <c r="D41" s="45"/>
      <c r="E41" s="45"/>
      <c r="F41" s="45"/>
      <c r="G41" s="45"/>
    </row>
    <row r="42" spans="1:13" ht="14">
      <c r="A42" s="247" t="s">
        <v>63</v>
      </c>
      <c r="G42" s="45"/>
    </row>
    <row r="43" spans="1:13" ht="14">
      <c r="A43" s="440"/>
      <c r="B43" s="199"/>
      <c r="C43" s="199"/>
      <c r="D43" s="285"/>
      <c r="E43" s="285"/>
      <c r="F43" s="285"/>
      <c r="G43" s="199"/>
      <c r="H43" s="199"/>
      <c r="I43" s="199"/>
      <c r="J43" s="199"/>
      <c r="K43" s="199"/>
    </row>
    <row r="44" spans="1:13" ht="14">
      <c r="A44" s="248" t="s">
        <v>64</v>
      </c>
    </row>
    <row r="46" spans="1:13" ht="14.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90" zoomScaleNormal="90" workbookViewId="0">
      <pane xSplit="1" ySplit="10" topLeftCell="B11" activePane="bottomRight" state="frozen"/>
      <selection activeCell="B55" sqref="B55"/>
      <selection pane="topRight" activeCell="B55" sqref="B55"/>
      <selection pane="bottomLeft" activeCell="B55" sqref="B55"/>
      <selection pane="bottomRight" activeCell="F27" sqref="F27"/>
    </sheetView>
  </sheetViews>
  <sheetFormatPr defaultRowHeight="12"/>
  <cols>
    <col min="1" max="1" width="84.26953125" style="263" customWidth="1"/>
    <col min="2" max="3" width="12.7265625" style="263" customWidth="1"/>
    <col min="4" max="4" width="9.453125" style="263" bestFit="1" customWidth="1"/>
    <col min="5" max="10" width="12.7265625" style="263" customWidth="1"/>
    <col min="11" max="11" width="10.7265625" style="263" customWidth="1"/>
    <col min="12" max="13" width="12.7265625" style="263" customWidth="1"/>
    <col min="14" max="15" width="16.54296875" style="263" customWidth="1"/>
    <col min="16" max="16" width="16.54296875" style="263" hidden="1" customWidth="1"/>
    <col min="17" max="17" width="16.54296875" style="263" customWidth="1"/>
    <col min="18" max="256" width="9.26953125" style="263"/>
    <col min="257" max="257" width="70" style="263" customWidth="1"/>
    <col min="258" max="269" width="12.7265625" style="263" customWidth="1"/>
    <col min="270" max="270" width="11" style="263" customWidth="1"/>
    <col min="271" max="271" width="0" style="263" hidden="1" customWidth="1"/>
    <col min="272" max="273" width="11.7265625" style="263" customWidth="1"/>
    <col min="274" max="512" width="9.26953125" style="263"/>
    <col min="513" max="513" width="70" style="263" customWidth="1"/>
    <col min="514" max="525" width="12.7265625" style="263" customWidth="1"/>
    <col min="526" max="526" width="11" style="263" customWidth="1"/>
    <col min="527" max="527" width="0" style="263" hidden="1" customWidth="1"/>
    <col min="528" max="529" width="11.7265625" style="263" customWidth="1"/>
    <col min="530" max="768" width="9.26953125" style="263"/>
    <col min="769" max="769" width="70" style="263" customWidth="1"/>
    <col min="770" max="781" width="12.7265625" style="263" customWidth="1"/>
    <col min="782" max="782" width="11" style="263" customWidth="1"/>
    <col min="783" max="783" width="0" style="263" hidden="1" customWidth="1"/>
    <col min="784" max="785" width="11.7265625" style="263" customWidth="1"/>
    <col min="786" max="1024" width="9.26953125" style="263"/>
    <col min="1025" max="1025" width="70" style="263" customWidth="1"/>
    <col min="1026" max="1037" width="12.7265625" style="263" customWidth="1"/>
    <col min="1038" max="1038" width="11" style="263" customWidth="1"/>
    <col min="1039" max="1039" width="0" style="263" hidden="1" customWidth="1"/>
    <col min="1040" max="1041" width="11.7265625" style="263" customWidth="1"/>
    <col min="1042" max="1280" width="9.26953125" style="263"/>
    <col min="1281" max="1281" width="70" style="263" customWidth="1"/>
    <col min="1282" max="1293" width="12.7265625" style="263" customWidth="1"/>
    <col min="1294" max="1294" width="11" style="263" customWidth="1"/>
    <col min="1295" max="1295" width="0" style="263" hidden="1" customWidth="1"/>
    <col min="1296" max="1297" width="11.7265625" style="263" customWidth="1"/>
    <col min="1298" max="1536" width="9.26953125" style="263"/>
    <col min="1537" max="1537" width="70" style="263" customWidth="1"/>
    <col min="1538" max="1549" width="12.7265625" style="263" customWidth="1"/>
    <col min="1550" max="1550" width="11" style="263" customWidth="1"/>
    <col min="1551" max="1551" width="0" style="263" hidden="1" customWidth="1"/>
    <col min="1552" max="1553" width="11.7265625" style="263" customWidth="1"/>
    <col min="1554" max="1792" width="9.26953125" style="263"/>
    <col min="1793" max="1793" width="70" style="263" customWidth="1"/>
    <col min="1794" max="1805" width="12.7265625" style="263" customWidth="1"/>
    <col min="1806" max="1806" width="11" style="263" customWidth="1"/>
    <col min="1807" max="1807" width="0" style="263" hidden="1" customWidth="1"/>
    <col min="1808" max="1809" width="11.7265625" style="263" customWidth="1"/>
    <col min="1810" max="2048" width="9.26953125" style="263"/>
    <col min="2049" max="2049" width="70" style="263" customWidth="1"/>
    <col min="2050" max="2061" width="12.7265625" style="263" customWidth="1"/>
    <col min="2062" max="2062" width="11" style="263" customWidth="1"/>
    <col min="2063" max="2063" width="0" style="263" hidden="1" customWidth="1"/>
    <col min="2064" max="2065" width="11.7265625" style="263" customWidth="1"/>
    <col min="2066" max="2304" width="9.26953125" style="263"/>
    <col min="2305" max="2305" width="70" style="263" customWidth="1"/>
    <col min="2306" max="2317" width="12.7265625" style="263" customWidth="1"/>
    <col min="2318" max="2318" width="11" style="263" customWidth="1"/>
    <col min="2319" max="2319" width="0" style="263" hidden="1" customWidth="1"/>
    <col min="2320" max="2321" width="11.7265625" style="263" customWidth="1"/>
    <col min="2322" max="2560" width="9.26953125" style="263"/>
    <col min="2561" max="2561" width="70" style="263" customWidth="1"/>
    <col min="2562" max="2573" width="12.7265625" style="263" customWidth="1"/>
    <col min="2574" max="2574" width="11" style="263" customWidth="1"/>
    <col min="2575" max="2575" width="0" style="263" hidden="1" customWidth="1"/>
    <col min="2576" max="2577" width="11.7265625" style="263" customWidth="1"/>
    <col min="2578" max="2816" width="9.26953125" style="263"/>
    <col min="2817" max="2817" width="70" style="263" customWidth="1"/>
    <col min="2818" max="2829" width="12.7265625" style="263" customWidth="1"/>
    <col min="2830" max="2830" width="11" style="263" customWidth="1"/>
    <col min="2831" max="2831" width="0" style="263" hidden="1" customWidth="1"/>
    <col min="2832" max="2833" width="11.7265625" style="263" customWidth="1"/>
    <col min="2834" max="3072" width="9.26953125" style="263"/>
    <col min="3073" max="3073" width="70" style="263" customWidth="1"/>
    <col min="3074" max="3085" width="12.7265625" style="263" customWidth="1"/>
    <col min="3086" max="3086" width="11" style="263" customWidth="1"/>
    <col min="3087" max="3087" width="0" style="263" hidden="1" customWidth="1"/>
    <col min="3088" max="3089" width="11.7265625" style="263" customWidth="1"/>
    <col min="3090" max="3328" width="9.26953125" style="263"/>
    <col min="3329" max="3329" width="70" style="263" customWidth="1"/>
    <col min="3330" max="3341" width="12.7265625" style="263" customWidth="1"/>
    <col min="3342" max="3342" width="11" style="263" customWidth="1"/>
    <col min="3343" max="3343" width="0" style="263" hidden="1" customWidth="1"/>
    <col min="3344" max="3345" width="11.7265625" style="263" customWidth="1"/>
    <col min="3346" max="3584" width="9.26953125" style="263"/>
    <col min="3585" max="3585" width="70" style="263" customWidth="1"/>
    <col min="3586" max="3597" width="12.7265625" style="263" customWidth="1"/>
    <col min="3598" max="3598" width="11" style="263" customWidth="1"/>
    <col min="3599" max="3599" width="0" style="263" hidden="1" customWidth="1"/>
    <col min="3600" max="3601" width="11.7265625" style="263" customWidth="1"/>
    <col min="3602" max="3840" width="9.26953125" style="263"/>
    <col min="3841" max="3841" width="70" style="263" customWidth="1"/>
    <col min="3842" max="3853" width="12.7265625" style="263" customWidth="1"/>
    <col min="3854" max="3854" width="11" style="263" customWidth="1"/>
    <col min="3855" max="3855" width="0" style="263" hidden="1" customWidth="1"/>
    <col min="3856" max="3857" width="11.7265625" style="263" customWidth="1"/>
    <col min="3858" max="4096" width="9.26953125" style="263"/>
    <col min="4097" max="4097" width="70" style="263" customWidth="1"/>
    <col min="4098" max="4109" width="12.7265625" style="263" customWidth="1"/>
    <col min="4110" max="4110" width="11" style="263" customWidth="1"/>
    <col min="4111" max="4111" width="0" style="263" hidden="1" customWidth="1"/>
    <col min="4112" max="4113" width="11.7265625" style="263" customWidth="1"/>
    <col min="4114" max="4352" width="9.26953125" style="263"/>
    <col min="4353" max="4353" width="70" style="263" customWidth="1"/>
    <col min="4354" max="4365" width="12.7265625" style="263" customWidth="1"/>
    <col min="4366" max="4366" width="11" style="263" customWidth="1"/>
    <col min="4367" max="4367" width="0" style="263" hidden="1" customWidth="1"/>
    <col min="4368" max="4369" width="11.7265625" style="263" customWidth="1"/>
    <col min="4370" max="4608" width="9.26953125" style="263"/>
    <col min="4609" max="4609" width="70" style="263" customWidth="1"/>
    <col min="4610" max="4621" width="12.7265625" style="263" customWidth="1"/>
    <col min="4622" max="4622" width="11" style="263" customWidth="1"/>
    <col min="4623" max="4623" width="0" style="263" hidden="1" customWidth="1"/>
    <col min="4624" max="4625" width="11.7265625" style="263" customWidth="1"/>
    <col min="4626" max="4864" width="9.26953125" style="263"/>
    <col min="4865" max="4865" width="70" style="263" customWidth="1"/>
    <col min="4866" max="4877" width="12.7265625" style="263" customWidth="1"/>
    <col min="4878" max="4878" width="11" style="263" customWidth="1"/>
    <col min="4879" max="4879" width="0" style="263" hidden="1" customWidth="1"/>
    <col min="4880" max="4881" width="11.7265625" style="263" customWidth="1"/>
    <col min="4882" max="5120" width="9.26953125" style="263"/>
    <col min="5121" max="5121" width="70" style="263" customWidth="1"/>
    <col min="5122" max="5133" width="12.7265625" style="263" customWidth="1"/>
    <col min="5134" max="5134" width="11" style="263" customWidth="1"/>
    <col min="5135" max="5135" width="0" style="263" hidden="1" customWidth="1"/>
    <col min="5136" max="5137" width="11.7265625" style="263" customWidth="1"/>
    <col min="5138" max="5376" width="9.26953125" style="263"/>
    <col min="5377" max="5377" width="70" style="263" customWidth="1"/>
    <col min="5378" max="5389" width="12.7265625" style="263" customWidth="1"/>
    <col min="5390" max="5390" width="11" style="263" customWidth="1"/>
    <col min="5391" max="5391" width="0" style="263" hidden="1" customWidth="1"/>
    <col min="5392" max="5393" width="11.7265625" style="263" customWidth="1"/>
    <col min="5394" max="5632" width="9.26953125" style="263"/>
    <col min="5633" max="5633" width="70" style="263" customWidth="1"/>
    <col min="5634" max="5645" width="12.7265625" style="263" customWidth="1"/>
    <col min="5646" max="5646" width="11" style="263" customWidth="1"/>
    <col min="5647" max="5647" width="0" style="263" hidden="1" customWidth="1"/>
    <col min="5648" max="5649" width="11.7265625" style="263" customWidth="1"/>
    <col min="5650" max="5888" width="9.26953125" style="263"/>
    <col min="5889" max="5889" width="70" style="263" customWidth="1"/>
    <col min="5890" max="5901" width="12.7265625" style="263" customWidth="1"/>
    <col min="5902" max="5902" width="11" style="263" customWidth="1"/>
    <col min="5903" max="5903" width="0" style="263" hidden="1" customWidth="1"/>
    <col min="5904" max="5905" width="11.7265625" style="263" customWidth="1"/>
    <col min="5906" max="6144" width="9.26953125" style="263"/>
    <col min="6145" max="6145" width="70" style="263" customWidth="1"/>
    <col min="6146" max="6157" width="12.7265625" style="263" customWidth="1"/>
    <col min="6158" max="6158" width="11" style="263" customWidth="1"/>
    <col min="6159" max="6159" width="0" style="263" hidden="1" customWidth="1"/>
    <col min="6160" max="6161" width="11.7265625" style="263" customWidth="1"/>
    <col min="6162" max="6400" width="9.26953125" style="263"/>
    <col min="6401" max="6401" width="70" style="263" customWidth="1"/>
    <col min="6402" max="6413" width="12.7265625" style="263" customWidth="1"/>
    <col min="6414" max="6414" width="11" style="263" customWidth="1"/>
    <col min="6415" max="6415" width="0" style="263" hidden="1" customWidth="1"/>
    <col min="6416" max="6417" width="11.7265625" style="263" customWidth="1"/>
    <col min="6418" max="6656" width="9.26953125" style="263"/>
    <col min="6657" max="6657" width="70" style="263" customWidth="1"/>
    <col min="6658" max="6669" width="12.7265625" style="263" customWidth="1"/>
    <col min="6670" max="6670" width="11" style="263" customWidth="1"/>
    <col min="6671" max="6671" width="0" style="263" hidden="1" customWidth="1"/>
    <col min="6672" max="6673" width="11.7265625" style="263" customWidth="1"/>
    <col min="6674" max="6912" width="9.26953125" style="263"/>
    <col min="6913" max="6913" width="70" style="263" customWidth="1"/>
    <col min="6914" max="6925" width="12.7265625" style="263" customWidth="1"/>
    <col min="6926" max="6926" width="11" style="263" customWidth="1"/>
    <col min="6927" max="6927" width="0" style="263" hidden="1" customWidth="1"/>
    <col min="6928" max="6929" width="11.7265625" style="263" customWidth="1"/>
    <col min="6930" max="7168" width="9.26953125" style="263"/>
    <col min="7169" max="7169" width="70" style="263" customWidth="1"/>
    <col min="7170" max="7181" width="12.7265625" style="263" customWidth="1"/>
    <col min="7182" max="7182" width="11" style="263" customWidth="1"/>
    <col min="7183" max="7183" width="0" style="263" hidden="1" customWidth="1"/>
    <col min="7184" max="7185" width="11.7265625" style="263" customWidth="1"/>
    <col min="7186" max="7424" width="9.26953125" style="263"/>
    <col min="7425" max="7425" width="70" style="263" customWidth="1"/>
    <col min="7426" max="7437" width="12.7265625" style="263" customWidth="1"/>
    <col min="7438" max="7438" width="11" style="263" customWidth="1"/>
    <col min="7439" max="7439" width="0" style="263" hidden="1" customWidth="1"/>
    <col min="7440" max="7441" width="11.7265625" style="263" customWidth="1"/>
    <col min="7442" max="7680" width="9.26953125" style="263"/>
    <col min="7681" max="7681" width="70" style="263" customWidth="1"/>
    <col min="7682" max="7693" width="12.7265625" style="263" customWidth="1"/>
    <col min="7694" max="7694" width="11" style="263" customWidth="1"/>
    <col min="7695" max="7695" width="0" style="263" hidden="1" customWidth="1"/>
    <col min="7696" max="7697" width="11.7265625" style="263" customWidth="1"/>
    <col min="7698" max="7936" width="9.26953125" style="263"/>
    <col min="7937" max="7937" width="70" style="263" customWidth="1"/>
    <col min="7938" max="7949" width="12.7265625" style="263" customWidth="1"/>
    <col min="7950" max="7950" width="11" style="263" customWidth="1"/>
    <col min="7951" max="7951" width="0" style="263" hidden="1" customWidth="1"/>
    <col min="7952" max="7953" width="11.7265625" style="263" customWidth="1"/>
    <col min="7954" max="8192" width="9.26953125" style="263"/>
    <col min="8193" max="8193" width="70" style="263" customWidth="1"/>
    <col min="8194" max="8205" width="12.7265625" style="263" customWidth="1"/>
    <col min="8206" max="8206" width="11" style="263" customWidth="1"/>
    <col min="8207" max="8207" width="0" style="263" hidden="1" customWidth="1"/>
    <col min="8208" max="8209" width="11.7265625" style="263" customWidth="1"/>
    <col min="8210" max="8448" width="9.26953125" style="263"/>
    <col min="8449" max="8449" width="70" style="263" customWidth="1"/>
    <col min="8450" max="8461" width="12.7265625" style="263" customWidth="1"/>
    <col min="8462" max="8462" width="11" style="263" customWidth="1"/>
    <col min="8463" max="8463" width="0" style="263" hidden="1" customWidth="1"/>
    <col min="8464" max="8465" width="11.7265625" style="263" customWidth="1"/>
    <col min="8466" max="8704" width="9.26953125" style="263"/>
    <col min="8705" max="8705" width="70" style="263" customWidth="1"/>
    <col min="8706" max="8717" width="12.7265625" style="263" customWidth="1"/>
    <col min="8718" max="8718" width="11" style="263" customWidth="1"/>
    <col min="8719" max="8719" width="0" style="263" hidden="1" customWidth="1"/>
    <col min="8720" max="8721" width="11.7265625" style="263" customWidth="1"/>
    <col min="8722" max="8960" width="9.26953125" style="263"/>
    <col min="8961" max="8961" width="70" style="263" customWidth="1"/>
    <col min="8962" max="8973" width="12.7265625" style="263" customWidth="1"/>
    <col min="8974" max="8974" width="11" style="263" customWidth="1"/>
    <col min="8975" max="8975" width="0" style="263" hidden="1" customWidth="1"/>
    <col min="8976" max="8977" width="11.7265625" style="263" customWidth="1"/>
    <col min="8978" max="9216" width="9.26953125" style="263"/>
    <col min="9217" max="9217" width="70" style="263" customWidth="1"/>
    <col min="9218" max="9229" width="12.7265625" style="263" customWidth="1"/>
    <col min="9230" max="9230" width="11" style="263" customWidth="1"/>
    <col min="9231" max="9231" width="0" style="263" hidden="1" customWidth="1"/>
    <col min="9232" max="9233" width="11.7265625" style="263" customWidth="1"/>
    <col min="9234" max="9472" width="9.26953125" style="263"/>
    <col min="9473" max="9473" width="70" style="263" customWidth="1"/>
    <col min="9474" max="9485" width="12.7265625" style="263" customWidth="1"/>
    <col min="9486" max="9486" width="11" style="263" customWidth="1"/>
    <col min="9487" max="9487" width="0" style="263" hidden="1" customWidth="1"/>
    <col min="9488" max="9489" width="11.7265625" style="263" customWidth="1"/>
    <col min="9490" max="9728" width="9.26953125" style="263"/>
    <col min="9729" max="9729" width="70" style="263" customWidth="1"/>
    <col min="9730" max="9741" width="12.7265625" style="263" customWidth="1"/>
    <col min="9742" max="9742" width="11" style="263" customWidth="1"/>
    <col min="9743" max="9743" width="0" style="263" hidden="1" customWidth="1"/>
    <col min="9744" max="9745" width="11.7265625" style="263" customWidth="1"/>
    <col min="9746" max="9984" width="9.26953125" style="263"/>
    <col min="9985" max="9985" width="70" style="263" customWidth="1"/>
    <col min="9986" max="9997" width="12.7265625" style="263" customWidth="1"/>
    <col min="9998" max="9998" width="11" style="263" customWidth="1"/>
    <col min="9999" max="9999" width="0" style="263" hidden="1" customWidth="1"/>
    <col min="10000" max="10001" width="11.7265625" style="263" customWidth="1"/>
    <col min="10002" max="10240" width="9.26953125" style="263"/>
    <col min="10241" max="10241" width="70" style="263" customWidth="1"/>
    <col min="10242" max="10253" width="12.7265625" style="263" customWidth="1"/>
    <col min="10254" max="10254" width="11" style="263" customWidth="1"/>
    <col min="10255" max="10255" width="0" style="263" hidden="1" customWidth="1"/>
    <col min="10256" max="10257" width="11.7265625" style="263" customWidth="1"/>
    <col min="10258" max="10496" width="9.26953125" style="263"/>
    <col min="10497" max="10497" width="70" style="263" customWidth="1"/>
    <col min="10498" max="10509" width="12.7265625" style="263" customWidth="1"/>
    <col min="10510" max="10510" width="11" style="263" customWidth="1"/>
    <col min="10511" max="10511" width="0" style="263" hidden="1" customWidth="1"/>
    <col min="10512" max="10513" width="11.7265625" style="263" customWidth="1"/>
    <col min="10514" max="10752" width="9.26953125" style="263"/>
    <col min="10753" max="10753" width="70" style="263" customWidth="1"/>
    <col min="10754" max="10765" width="12.7265625" style="263" customWidth="1"/>
    <col min="10766" max="10766" width="11" style="263" customWidth="1"/>
    <col min="10767" max="10767" width="0" style="263" hidden="1" customWidth="1"/>
    <col min="10768" max="10769" width="11.7265625" style="263" customWidth="1"/>
    <col min="10770" max="11008" width="9.26953125" style="263"/>
    <col min="11009" max="11009" width="70" style="263" customWidth="1"/>
    <col min="11010" max="11021" width="12.7265625" style="263" customWidth="1"/>
    <col min="11022" max="11022" width="11" style="263" customWidth="1"/>
    <col min="11023" max="11023" width="0" style="263" hidden="1" customWidth="1"/>
    <col min="11024" max="11025" width="11.7265625" style="263" customWidth="1"/>
    <col min="11026" max="11264" width="9.26953125" style="263"/>
    <col min="11265" max="11265" width="70" style="263" customWidth="1"/>
    <col min="11266" max="11277" width="12.7265625" style="263" customWidth="1"/>
    <col min="11278" max="11278" width="11" style="263" customWidth="1"/>
    <col min="11279" max="11279" width="0" style="263" hidden="1" customWidth="1"/>
    <col min="11280" max="11281" width="11.7265625" style="263" customWidth="1"/>
    <col min="11282" max="11520" width="9.26953125" style="263"/>
    <col min="11521" max="11521" width="70" style="263" customWidth="1"/>
    <col min="11522" max="11533" width="12.7265625" style="263" customWidth="1"/>
    <col min="11534" max="11534" width="11" style="263" customWidth="1"/>
    <col min="11535" max="11535" width="0" style="263" hidden="1" customWidth="1"/>
    <col min="11536" max="11537" width="11.7265625" style="263" customWidth="1"/>
    <col min="11538" max="11776" width="9.26953125" style="263"/>
    <col min="11777" max="11777" width="70" style="263" customWidth="1"/>
    <col min="11778" max="11789" width="12.7265625" style="263" customWidth="1"/>
    <col min="11790" max="11790" width="11" style="263" customWidth="1"/>
    <col min="11791" max="11791" width="0" style="263" hidden="1" customWidth="1"/>
    <col min="11792" max="11793" width="11.7265625" style="263" customWidth="1"/>
    <col min="11794" max="12032" width="9.26953125" style="263"/>
    <col min="12033" max="12033" width="70" style="263" customWidth="1"/>
    <col min="12034" max="12045" width="12.7265625" style="263" customWidth="1"/>
    <col min="12046" max="12046" width="11" style="263" customWidth="1"/>
    <col min="12047" max="12047" width="0" style="263" hidden="1" customWidth="1"/>
    <col min="12048" max="12049" width="11.7265625" style="263" customWidth="1"/>
    <col min="12050" max="12288" width="9.26953125" style="263"/>
    <col min="12289" max="12289" width="70" style="263" customWidth="1"/>
    <col min="12290" max="12301" width="12.7265625" style="263" customWidth="1"/>
    <col min="12302" max="12302" width="11" style="263" customWidth="1"/>
    <col min="12303" max="12303" width="0" style="263" hidden="1" customWidth="1"/>
    <col min="12304" max="12305" width="11.7265625" style="263" customWidth="1"/>
    <col min="12306" max="12544" width="9.26953125" style="263"/>
    <col min="12545" max="12545" width="70" style="263" customWidth="1"/>
    <col min="12546" max="12557" width="12.7265625" style="263" customWidth="1"/>
    <col min="12558" max="12558" width="11" style="263" customWidth="1"/>
    <col min="12559" max="12559" width="0" style="263" hidden="1" customWidth="1"/>
    <col min="12560" max="12561" width="11.7265625" style="263" customWidth="1"/>
    <col min="12562" max="12800" width="9.26953125" style="263"/>
    <col min="12801" max="12801" width="70" style="263" customWidth="1"/>
    <col min="12802" max="12813" width="12.7265625" style="263" customWidth="1"/>
    <col min="12814" max="12814" width="11" style="263" customWidth="1"/>
    <col min="12815" max="12815" width="0" style="263" hidden="1" customWidth="1"/>
    <col min="12816" max="12817" width="11.7265625" style="263" customWidth="1"/>
    <col min="12818" max="13056" width="9.26953125" style="263"/>
    <col min="13057" max="13057" width="70" style="263" customWidth="1"/>
    <col min="13058" max="13069" width="12.7265625" style="263" customWidth="1"/>
    <col min="13070" max="13070" width="11" style="263" customWidth="1"/>
    <col min="13071" max="13071" width="0" style="263" hidden="1" customWidth="1"/>
    <col min="13072" max="13073" width="11.7265625" style="263" customWidth="1"/>
    <col min="13074" max="13312" width="9.26953125" style="263"/>
    <col min="13313" max="13313" width="70" style="263" customWidth="1"/>
    <col min="13314" max="13325" width="12.7265625" style="263" customWidth="1"/>
    <col min="13326" max="13326" width="11" style="263" customWidth="1"/>
    <col min="13327" max="13327" width="0" style="263" hidden="1" customWidth="1"/>
    <col min="13328" max="13329" width="11.7265625" style="263" customWidth="1"/>
    <col min="13330" max="13568" width="9.26953125" style="263"/>
    <col min="13569" max="13569" width="70" style="263" customWidth="1"/>
    <col min="13570" max="13581" width="12.7265625" style="263" customWidth="1"/>
    <col min="13582" max="13582" width="11" style="263" customWidth="1"/>
    <col min="13583" max="13583" width="0" style="263" hidden="1" customWidth="1"/>
    <col min="13584" max="13585" width="11.7265625" style="263" customWidth="1"/>
    <col min="13586" max="13824" width="9.26953125" style="263"/>
    <col min="13825" max="13825" width="70" style="263" customWidth="1"/>
    <col min="13826" max="13837" width="12.7265625" style="263" customWidth="1"/>
    <col min="13838" max="13838" width="11" style="263" customWidth="1"/>
    <col min="13839" max="13839" width="0" style="263" hidden="1" customWidth="1"/>
    <col min="13840" max="13841" width="11.7265625" style="263" customWidth="1"/>
    <col min="13842" max="14080" width="9.26953125" style="263"/>
    <col min="14081" max="14081" width="70" style="263" customWidth="1"/>
    <col min="14082" max="14093" width="12.7265625" style="263" customWidth="1"/>
    <col min="14094" max="14094" width="11" style="263" customWidth="1"/>
    <col min="14095" max="14095" width="0" style="263" hidden="1" customWidth="1"/>
    <col min="14096" max="14097" width="11.7265625" style="263" customWidth="1"/>
    <col min="14098" max="14336" width="9.26953125" style="263"/>
    <col min="14337" max="14337" width="70" style="263" customWidth="1"/>
    <col min="14338" max="14349" width="12.7265625" style="263" customWidth="1"/>
    <col min="14350" max="14350" width="11" style="263" customWidth="1"/>
    <col min="14351" max="14351" width="0" style="263" hidden="1" customWidth="1"/>
    <col min="14352" max="14353" width="11.7265625" style="263" customWidth="1"/>
    <col min="14354" max="14592" width="9.26953125" style="263"/>
    <col min="14593" max="14593" width="70" style="263" customWidth="1"/>
    <col min="14594" max="14605" width="12.7265625" style="263" customWidth="1"/>
    <col min="14606" max="14606" width="11" style="263" customWidth="1"/>
    <col min="14607" max="14607" width="0" style="263" hidden="1" customWidth="1"/>
    <col min="14608" max="14609" width="11.7265625" style="263" customWidth="1"/>
    <col min="14610" max="14848" width="9.26953125" style="263"/>
    <col min="14849" max="14849" width="70" style="263" customWidth="1"/>
    <col min="14850" max="14861" width="12.7265625" style="263" customWidth="1"/>
    <col min="14862" max="14862" width="11" style="263" customWidth="1"/>
    <col min="14863" max="14863" width="0" style="263" hidden="1" customWidth="1"/>
    <col min="14864" max="14865" width="11.7265625" style="263" customWidth="1"/>
    <col min="14866" max="15104" width="9.26953125" style="263"/>
    <col min="15105" max="15105" width="70" style="263" customWidth="1"/>
    <col min="15106" max="15117" width="12.7265625" style="263" customWidth="1"/>
    <col min="15118" max="15118" width="11" style="263" customWidth="1"/>
    <col min="15119" max="15119" width="0" style="263" hidden="1" customWidth="1"/>
    <col min="15120" max="15121" width="11.7265625" style="263" customWidth="1"/>
    <col min="15122" max="15360" width="9.26953125" style="263"/>
    <col min="15361" max="15361" width="70" style="263" customWidth="1"/>
    <col min="15362" max="15373" width="12.7265625" style="263" customWidth="1"/>
    <col min="15374" max="15374" width="11" style="263" customWidth="1"/>
    <col min="15375" max="15375" width="0" style="263" hidden="1" customWidth="1"/>
    <col min="15376" max="15377" width="11.7265625" style="263" customWidth="1"/>
    <col min="15378" max="15616" width="9.26953125" style="263"/>
    <col min="15617" max="15617" width="70" style="263" customWidth="1"/>
    <col min="15618" max="15629" width="12.7265625" style="263" customWidth="1"/>
    <col min="15630" max="15630" width="11" style="263" customWidth="1"/>
    <col min="15631" max="15631" width="0" style="263" hidden="1" customWidth="1"/>
    <col min="15632" max="15633" width="11.7265625" style="263" customWidth="1"/>
    <col min="15634" max="15872" width="9.26953125" style="263"/>
    <col min="15873" max="15873" width="70" style="263" customWidth="1"/>
    <col min="15874" max="15885" width="12.7265625" style="263" customWidth="1"/>
    <col min="15886" max="15886" width="11" style="263" customWidth="1"/>
    <col min="15887" max="15887" width="0" style="263" hidden="1" customWidth="1"/>
    <col min="15888" max="15889" width="11.7265625" style="263" customWidth="1"/>
    <col min="15890" max="16128" width="9.26953125" style="263"/>
    <col min="16129" max="16129" width="70" style="263" customWidth="1"/>
    <col min="16130" max="16141" width="12.7265625" style="263" customWidth="1"/>
    <col min="16142" max="16142" width="11" style="263" customWidth="1"/>
    <col min="16143" max="16143" width="0" style="263" hidden="1" customWidth="1"/>
    <col min="16144" max="16145" width="11.7265625" style="263" customWidth="1"/>
    <col min="16146" max="16384" width="9.26953125" style="263"/>
  </cols>
  <sheetData>
    <row r="1" spans="1:17" ht="13.5" customHeight="1">
      <c r="L1" s="264"/>
      <c r="O1" s="264"/>
      <c r="P1" s="264"/>
      <c r="Q1" s="264"/>
    </row>
    <row r="2" spans="1:17" ht="13.5" customHeight="1">
      <c r="C2" s="371" t="s">
        <v>39</v>
      </c>
      <c r="L2" s="264"/>
      <c r="O2" s="264"/>
      <c r="P2" s="264"/>
      <c r="Q2" s="264"/>
    </row>
    <row r="3" spans="1:17" ht="13.5" customHeight="1">
      <c r="C3" s="371" t="s">
        <v>123</v>
      </c>
      <c r="F3" s="265"/>
      <c r="G3" s="265"/>
      <c r="H3" s="265"/>
      <c r="I3" s="265"/>
      <c r="L3" s="264"/>
      <c r="O3" s="264"/>
      <c r="P3" s="264"/>
      <c r="Q3" s="264"/>
    </row>
    <row r="4" spans="1:17" ht="13.5" customHeight="1">
      <c r="B4" s="265"/>
      <c r="C4" s="372" t="str">
        <f>'Program MW '!H3</f>
        <v>July 2021</v>
      </c>
      <c r="D4" s="265"/>
      <c r="L4" s="264"/>
      <c r="O4" s="264"/>
      <c r="P4" s="264"/>
      <c r="Q4" s="264"/>
    </row>
    <row r="5" spans="1:17" ht="13.5" customHeight="1">
      <c r="L5" s="264"/>
      <c r="O5" s="264"/>
      <c r="P5" s="264"/>
      <c r="Q5" s="264"/>
    </row>
    <row r="6" spans="1:17" s="277" customFormat="1" ht="13.5" customHeight="1"/>
    <row r="7" spans="1:17" s="277" customFormat="1" ht="18" customHeight="1">
      <c r="A7" s="306"/>
      <c r="B7" s="373" t="s">
        <v>250</v>
      </c>
      <c r="C7" s="306"/>
      <c r="D7" s="306"/>
      <c r="E7" s="306"/>
      <c r="F7" s="306"/>
      <c r="G7" s="306"/>
      <c r="H7" s="306"/>
      <c r="I7" s="306"/>
      <c r="J7" s="306"/>
      <c r="K7" s="306"/>
      <c r="L7" s="306"/>
      <c r="M7" s="306"/>
      <c r="N7" s="749" t="s">
        <v>241</v>
      </c>
      <c r="O7" s="747" t="s">
        <v>243</v>
      </c>
      <c r="P7" s="278"/>
      <c r="Q7" s="749" t="s">
        <v>124</v>
      </c>
    </row>
    <row r="8" spans="1:17" s="277" customFormat="1" ht="39" customHeight="1">
      <c r="A8" s="364"/>
      <c r="B8" s="374" t="s">
        <v>41</v>
      </c>
      <c r="C8" s="375" t="s">
        <v>42</v>
      </c>
      <c r="D8" s="375" t="s">
        <v>43</v>
      </c>
      <c r="E8" s="375" t="s">
        <v>44</v>
      </c>
      <c r="F8" s="375" t="s">
        <v>31</v>
      </c>
      <c r="G8" s="375" t="s">
        <v>45</v>
      </c>
      <c r="H8" s="375" t="s">
        <v>59</v>
      </c>
      <c r="I8" s="375" t="s">
        <v>66</v>
      </c>
      <c r="J8" s="375" t="s">
        <v>67</v>
      </c>
      <c r="K8" s="405" t="s">
        <v>125</v>
      </c>
      <c r="L8" s="375" t="s">
        <v>68</v>
      </c>
      <c r="M8" s="375" t="s">
        <v>62</v>
      </c>
      <c r="N8" s="750"/>
      <c r="O8" s="748"/>
      <c r="P8" s="279" t="s">
        <v>126</v>
      </c>
      <c r="Q8" s="750"/>
    </row>
    <row r="9" spans="1:17" s="277" customFormat="1" ht="15.5">
      <c r="A9" s="380" t="s">
        <v>127</v>
      </c>
      <c r="B9" s="363"/>
      <c r="N9" s="311"/>
      <c r="Q9" s="286"/>
    </row>
    <row r="10" spans="1:17" s="277" customFormat="1" ht="13">
      <c r="A10" s="376" t="s">
        <v>128</v>
      </c>
      <c r="B10" s="363"/>
      <c r="C10" s="363"/>
      <c r="D10" s="363"/>
      <c r="E10" s="363"/>
      <c r="F10" s="363"/>
      <c r="G10" s="363"/>
      <c r="H10" s="363"/>
      <c r="I10" s="363"/>
      <c r="J10" s="363"/>
      <c r="K10" s="363"/>
      <c r="L10" s="363"/>
      <c r="M10" s="363"/>
      <c r="N10" s="311"/>
      <c r="O10" s="362"/>
      <c r="P10" s="281"/>
      <c r="Q10" s="287"/>
    </row>
    <row r="11" spans="1:17" s="277" customFormat="1" ht="13">
      <c r="A11" s="377" t="s">
        <v>129</v>
      </c>
      <c r="B11" s="458">
        <v>11850</v>
      </c>
      <c r="C11" s="458">
        <v>31485.81</v>
      </c>
      <c r="D11" s="458">
        <v>36584.06</v>
      </c>
      <c r="E11" s="458">
        <v>25762.2</v>
      </c>
      <c r="F11" s="458">
        <v>10906.94</v>
      </c>
      <c r="G11" s="647">
        <v>9892.69</v>
      </c>
      <c r="H11" s="458">
        <v>8822.6</v>
      </c>
      <c r="I11" s="458">
        <v>0</v>
      </c>
      <c r="J11" s="458">
        <v>0</v>
      </c>
      <c r="K11" s="458">
        <v>0</v>
      </c>
      <c r="L11" s="458">
        <v>0</v>
      </c>
      <c r="M11" s="458">
        <v>0</v>
      </c>
      <c r="N11" s="549">
        <f t="shared" ref="N11:N22" si="0">SUM(B11:M11)</f>
        <v>135304.29999999999</v>
      </c>
      <c r="O11" s="550">
        <f>707141+443068+428874+N11</f>
        <v>1714387.3</v>
      </c>
      <c r="P11" s="551"/>
      <c r="Q11" s="548">
        <f>848010+857842+857842+250000</f>
        <v>2813694</v>
      </c>
    </row>
    <row r="12" spans="1:17" s="277" customFormat="1" ht="15">
      <c r="A12" s="377" t="s">
        <v>251</v>
      </c>
      <c r="B12" s="458">
        <v>0</v>
      </c>
      <c r="C12" s="458">
        <v>0</v>
      </c>
      <c r="D12" s="458">
        <v>315.39999999999998</v>
      </c>
      <c r="E12" s="458">
        <v>67.830000000000041</v>
      </c>
      <c r="F12" s="458">
        <v>335.75</v>
      </c>
      <c r="G12" s="647">
        <v>1234.9299999999998</v>
      </c>
      <c r="H12" s="458">
        <v>256.71999999999991</v>
      </c>
      <c r="I12" s="458">
        <v>0</v>
      </c>
      <c r="J12" s="458">
        <v>0</v>
      </c>
      <c r="K12" s="458">
        <v>0</v>
      </c>
      <c r="L12" s="458">
        <v>0</v>
      </c>
      <c r="M12" s="458">
        <v>0</v>
      </c>
      <c r="N12" s="545">
        <f t="shared" si="0"/>
        <v>2210.6299999999997</v>
      </c>
      <c r="O12" s="546">
        <f>7808+9482+6823+N12</f>
        <v>26323.63</v>
      </c>
      <c r="P12" s="547"/>
      <c r="Q12" s="548">
        <v>35302</v>
      </c>
    </row>
    <row r="13" spans="1:17" s="277" customFormat="1" ht="13">
      <c r="A13" s="377" t="s">
        <v>130</v>
      </c>
      <c r="B13" s="458">
        <v>0</v>
      </c>
      <c r="C13" s="458">
        <v>0</v>
      </c>
      <c r="D13" s="458">
        <v>0</v>
      </c>
      <c r="E13" s="458">
        <v>0</v>
      </c>
      <c r="F13" s="458">
        <v>0</v>
      </c>
      <c r="G13" s="647">
        <v>0</v>
      </c>
      <c r="H13" s="458">
        <v>0</v>
      </c>
      <c r="I13" s="458">
        <v>0</v>
      </c>
      <c r="J13" s="458">
        <v>0</v>
      </c>
      <c r="K13" s="458">
        <v>0</v>
      </c>
      <c r="L13" s="458">
        <v>0</v>
      </c>
      <c r="M13" s="458">
        <v>0</v>
      </c>
      <c r="N13" s="483">
        <f t="shared" si="0"/>
        <v>0</v>
      </c>
      <c r="O13" s="459">
        <f>0+N13</f>
        <v>0</v>
      </c>
      <c r="P13" s="460"/>
      <c r="Q13" s="461">
        <v>1000</v>
      </c>
    </row>
    <row r="14" spans="1:17" s="277" customFormat="1" ht="13">
      <c r="A14" s="377" t="s">
        <v>252</v>
      </c>
      <c r="B14" s="458">
        <v>0</v>
      </c>
      <c r="C14" s="458">
        <v>0</v>
      </c>
      <c r="D14" s="458">
        <v>627</v>
      </c>
      <c r="E14" s="458">
        <v>139.45000000000005</v>
      </c>
      <c r="F14" s="458">
        <v>671.5</v>
      </c>
      <c r="G14" s="647">
        <v>2469.87</v>
      </c>
      <c r="H14" s="458">
        <v>513.43999999999983</v>
      </c>
      <c r="I14" s="458">
        <v>0</v>
      </c>
      <c r="J14" s="458">
        <v>0</v>
      </c>
      <c r="K14" s="458">
        <v>0</v>
      </c>
      <c r="L14" s="458">
        <v>0</v>
      </c>
      <c r="M14" s="458">
        <v>0</v>
      </c>
      <c r="N14" s="483">
        <f t="shared" si="0"/>
        <v>4421.2599999999993</v>
      </c>
      <c r="O14" s="459">
        <f>4889+16666+13948+N14</f>
        <v>39924.26</v>
      </c>
      <c r="P14" s="460"/>
      <c r="Q14" s="461">
        <v>78149</v>
      </c>
    </row>
    <row r="15" spans="1:17" s="277" customFormat="1" ht="15">
      <c r="A15" s="377" t="s">
        <v>253</v>
      </c>
      <c r="B15" s="458">
        <v>0</v>
      </c>
      <c r="C15" s="458">
        <v>0</v>
      </c>
      <c r="D15" s="458">
        <v>1620.44</v>
      </c>
      <c r="E15" s="458">
        <v>1297.3</v>
      </c>
      <c r="F15" s="458">
        <v>1343</v>
      </c>
      <c r="G15" s="647">
        <v>4939.74</v>
      </c>
      <c r="H15" s="458">
        <v>1026.9199999999996</v>
      </c>
      <c r="I15" s="458">
        <v>0</v>
      </c>
      <c r="J15" s="458">
        <v>0</v>
      </c>
      <c r="K15" s="458">
        <v>0</v>
      </c>
      <c r="L15" s="458">
        <v>0</v>
      </c>
      <c r="M15" s="458">
        <v>0</v>
      </c>
      <c r="N15" s="483">
        <f t="shared" si="0"/>
        <v>10227.4</v>
      </c>
      <c r="O15" s="459">
        <f>49396+43751+41371+N15</f>
        <v>144745.4</v>
      </c>
      <c r="P15" s="460"/>
      <c r="Q15" s="461">
        <f>606299/2</f>
        <v>303149.5</v>
      </c>
    </row>
    <row r="16" spans="1:17" s="277" customFormat="1" ht="13">
      <c r="A16" s="377" t="s">
        <v>254</v>
      </c>
      <c r="B16" s="458">
        <v>0</v>
      </c>
      <c r="C16" s="458">
        <v>0</v>
      </c>
      <c r="D16" s="458">
        <v>3629</v>
      </c>
      <c r="E16" s="458">
        <v>203.19999999999982</v>
      </c>
      <c r="F16" s="458">
        <v>11464.3</v>
      </c>
      <c r="G16" s="647">
        <v>12349.299999999997</v>
      </c>
      <c r="H16" s="458">
        <v>2567.2100000000009</v>
      </c>
      <c r="I16" s="458">
        <v>0</v>
      </c>
      <c r="J16" s="458">
        <v>0</v>
      </c>
      <c r="K16" s="458">
        <v>0</v>
      </c>
      <c r="L16" s="458">
        <v>0</v>
      </c>
      <c r="M16" s="458">
        <v>0</v>
      </c>
      <c r="N16" s="483">
        <f t="shared" si="0"/>
        <v>30213.009999999995</v>
      </c>
      <c r="O16" s="459">
        <f>30843+118853+87496+N16</f>
        <v>267405.01</v>
      </c>
      <c r="P16" s="460"/>
      <c r="Q16" s="461">
        <v>303150</v>
      </c>
    </row>
    <row r="17" spans="1:122" s="277" customFormat="1" ht="13">
      <c r="A17" s="377" t="s">
        <v>255</v>
      </c>
      <c r="B17" s="458">
        <v>0</v>
      </c>
      <c r="C17" s="458">
        <v>0</v>
      </c>
      <c r="D17" s="458">
        <v>5494.8</v>
      </c>
      <c r="E17" s="458">
        <v>253.57999999999993</v>
      </c>
      <c r="F17" s="458">
        <v>6036.25</v>
      </c>
      <c r="G17" s="647">
        <v>18523.940000000002</v>
      </c>
      <c r="H17" s="458">
        <v>3850.8099999999977</v>
      </c>
      <c r="I17" s="458">
        <v>0</v>
      </c>
      <c r="J17" s="458">
        <v>0</v>
      </c>
      <c r="K17" s="458">
        <v>0</v>
      </c>
      <c r="L17" s="458">
        <v>0</v>
      </c>
      <c r="M17" s="458">
        <v>0</v>
      </c>
      <c r="N17" s="483">
        <f t="shared" si="0"/>
        <v>34159.380000000005</v>
      </c>
      <c r="O17" s="459">
        <f>73278+155232+113200+N17</f>
        <v>375869.38</v>
      </c>
      <c r="P17" s="460"/>
      <c r="Q17" s="461">
        <v>643043</v>
      </c>
    </row>
    <row r="18" spans="1:122" s="277" customFormat="1" ht="15">
      <c r="A18" s="378" t="s">
        <v>299</v>
      </c>
      <c r="B18" s="458">
        <v>0</v>
      </c>
      <c r="C18" s="458">
        <v>0</v>
      </c>
      <c r="D18" s="458">
        <v>2827.2</v>
      </c>
      <c r="E18" s="458">
        <v>-144.61999999999989</v>
      </c>
      <c r="F18" s="458">
        <v>2350.25</v>
      </c>
      <c r="G18" s="647">
        <v>8644.51</v>
      </c>
      <c r="H18" s="458">
        <v>2797.0399999999991</v>
      </c>
      <c r="I18" s="458">
        <v>0</v>
      </c>
      <c r="J18" s="458">
        <v>0</v>
      </c>
      <c r="K18" s="458">
        <v>0</v>
      </c>
      <c r="L18" s="458">
        <v>0</v>
      </c>
      <c r="M18" s="458">
        <v>0</v>
      </c>
      <c r="N18" s="483">
        <f t="shared" si="0"/>
        <v>16474.379999999997</v>
      </c>
      <c r="O18" s="459">
        <f>21091+92048+63087+N18</f>
        <v>192700.38</v>
      </c>
      <c r="P18" s="460"/>
      <c r="Q18" s="461">
        <v>383701</v>
      </c>
    </row>
    <row r="19" spans="1:122" s="277" customFormat="1" ht="13">
      <c r="A19" s="378" t="s">
        <v>101</v>
      </c>
      <c r="B19" s="458">
        <v>1375</v>
      </c>
      <c r="C19" s="458">
        <v>0</v>
      </c>
      <c r="D19" s="458">
        <v>9270.880000000001</v>
      </c>
      <c r="E19" s="458">
        <v>543.64999999999964</v>
      </c>
      <c r="F19" s="458">
        <v>8729.5</v>
      </c>
      <c r="G19" s="647">
        <v>32108.180000000004</v>
      </c>
      <c r="H19" s="458">
        <v>7154.8099999999986</v>
      </c>
      <c r="I19" s="458">
        <v>0</v>
      </c>
      <c r="J19" s="458">
        <v>0</v>
      </c>
      <c r="K19" s="458">
        <v>0</v>
      </c>
      <c r="L19" s="458">
        <v>0</v>
      </c>
      <c r="M19" s="458">
        <v>0</v>
      </c>
      <c r="N19" s="483">
        <f t="shared" si="0"/>
        <v>59182.020000000004</v>
      </c>
      <c r="O19" s="459">
        <f>107379+332446+264713+N19</f>
        <v>763720.02</v>
      </c>
      <c r="P19" s="460"/>
      <c r="Q19" s="461">
        <v>1102357</v>
      </c>
    </row>
    <row r="20" spans="1:122" s="277" customFormat="1" ht="15">
      <c r="A20" s="378" t="s">
        <v>300</v>
      </c>
      <c r="B20" s="458">
        <v>1375</v>
      </c>
      <c r="C20" s="458">
        <v>0</v>
      </c>
      <c r="D20" s="458">
        <v>16627.38</v>
      </c>
      <c r="E20" s="458">
        <v>-719.32000000000153</v>
      </c>
      <c r="F20" s="458">
        <v>12519</v>
      </c>
      <c r="G20" s="647">
        <v>50522.579999999994</v>
      </c>
      <c r="H20" s="458">
        <v>9465.32</v>
      </c>
      <c r="I20" s="458">
        <v>0</v>
      </c>
      <c r="J20" s="458">
        <v>0</v>
      </c>
      <c r="K20" s="458">
        <v>0</v>
      </c>
      <c r="L20" s="458">
        <v>0</v>
      </c>
      <c r="M20" s="458">
        <v>0</v>
      </c>
      <c r="N20" s="483">
        <f t="shared" si="0"/>
        <v>89789.959999999992</v>
      </c>
      <c r="O20" s="459">
        <f>210842+454257+423019+N20</f>
        <v>1177907.96</v>
      </c>
      <c r="P20" s="460"/>
      <c r="Q20" s="461">
        <v>1653537</v>
      </c>
    </row>
    <row r="21" spans="1:122" s="277" customFormat="1" ht="13">
      <c r="A21" s="378" t="s">
        <v>131</v>
      </c>
      <c r="B21" s="458">
        <v>0</v>
      </c>
      <c r="C21" s="458">
        <v>0</v>
      </c>
      <c r="D21" s="458">
        <v>0</v>
      </c>
      <c r="E21" s="458">
        <v>0</v>
      </c>
      <c r="F21" s="458">
        <v>0</v>
      </c>
      <c r="G21" s="458">
        <v>0</v>
      </c>
      <c r="H21" s="458">
        <v>0</v>
      </c>
      <c r="I21" s="458">
        <v>0</v>
      </c>
      <c r="J21" s="458">
        <v>0</v>
      </c>
      <c r="K21" s="458">
        <v>0</v>
      </c>
      <c r="L21" s="458">
        <v>0</v>
      </c>
      <c r="M21" s="458">
        <v>0</v>
      </c>
      <c r="N21" s="483">
        <f t="shared" si="0"/>
        <v>0</v>
      </c>
      <c r="O21" s="459">
        <f>2328+N21</f>
        <v>2328</v>
      </c>
      <c r="P21" s="460"/>
      <c r="Q21" s="461">
        <v>0</v>
      </c>
    </row>
    <row r="22" spans="1:122" s="277" customFormat="1" ht="13">
      <c r="A22" s="379" t="s">
        <v>132</v>
      </c>
      <c r="B22" s="458">
        <v>0</v>
      </c>
      <c r="C22" s="458">
        <v>0</v>
      </c>
      <c r="D22" s="458">
        <v>0</v>
      </c>
      <c r="E22" s="458">
        <v>0</v>
      </c>
      <c r="F22" s="458">
        <v>0</v>
      </c>
      <c r="G22" s="458">
        <v>0</v>
      </c>
      <c r="H22" s="458">
        <v>0</v>
      </c>
      <c r="I22" s="458">
        <v>0</v>
      </c>
      <c r="J22" s="458">
        <v>0</v>
      </c>
      <c r="K22" s="458">
        <v>0</v>
      </c>
      <c r="L22" s="458">
        <v>0</v>
      </c>
      <c r="M22" s="458">
        <v>0</v>
      </c>
      <c r="N22" s="483">
        <f t="shared" si="0"/>
        <v>0</v>
      </c>
      <c r="O22" s="459">
        <f>530+N22</f>
        <v>530</v>
      </c>
      <c r="P22" s="460"/>
      <c r="Q22" s="461">
        <v>50000</v>
      </c>
    </row>
    <row r="23" spans="1:122" s="282" customFormat="1" ht="15.5">
      <c r="A23" s="381" t="s">
        <v>133</v>
      </c>
      <c r="B23" s="462">
        <f t="shared" ref="B23:M23" si="1">SUM(B11:B22)</f>
        <v>14600</v>
      </c>
      <c r="C23" s="462">
        <f t="shared" si="1"/>
        <v>31485.81</v>
      </c>
      <c r="D23" s="462">
        <f t="shared" si="1"/>
        <v>76996.160000000003</v>
      </c>
      <c r="E23" s="462">
        <f t="shared" si="1"/>
        <v>27403.270000000004</v>
      </c>
      <c r="F23" s="462">
        <f t="shared" si="1"/>
        <v>54356.49</v>
      </c>
      <c r="G23" s="462">
        <f t="shared" si="1"/>
        <v>140685.74</v>
      </c>
      <c r="H23" s="462">
        <f>SUM(H11:H22)</f>
        <v>36454.869999999995</v>
      </c>
      <c r="I23" s="462">
        <f t="shared" si="1"/>
        <v>0</v>
      </c>
      <c r="J23" s="462">
        <f t="shared" si="1"/>
        <v>0</v>
      </c>
      <c r="K23" s="462">
        <f t="shared" si="1"/>
        <v>0</v>
      </c>
      <c r="L23" s="462">
        <f t="shared" si="1"/>
        <v>0</v>
      </c>
      <c r="M23" s="462">
        <f t="shared" si="1"/>
        <v>0</v>
      </c>
      <c r="N23" s="542">
        <f>SUM(N11:N22)</f>
        <v>381982.33999999997</v>
      </c>
      <c r="O23" s="463">
        <f>SUM(O11:O22)</f>
        <v>4705841.34</v>
      </c>
      <c r="P23" s="464"/>
      <c r="Q23" s="463">
        <f>SUM(Q11:Q22)</f>
        <v>7367082.5</v>
      </c>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c r="DJ23" s="277"/>
      <c r="DK23" s="277"/>
      <c r="DL23" s="277"/>
      <c r="DM23" s="277"/>
      <c r="DN23" s="277"/>
      <c r="DO23" s="277"/>
      <c r="DP23" s="277"/>
      <c r="DQ23" s="277"/>
      <c r="DR23" s="277"/>
    </row>
    <row r="24" spans="1:122" s="277" customFormat="1" ht="13">
      <c r="A24" s="288"/>
      <c r="B24" s="465"/>
      <c r="C24" s="466"/>
      <c r="D24" s="466"/>
      <c r="E24" s="466"/>
      <c r="F24" s="466"/>
      <c r="G24" s="466"/>
      <c r="H24" s="466"/>
      <c r="I24" s="466"/>
      <c r="J24" s="466"/>
      <c r="K24" s="466"/>
      <c r="L24" s="466"/>
      <c r="M24" s="466"/>
      <c r="N24" s="466"/>
      <c r="O24" s="466"/>
      <c r="P24" s="466"/>
      <c r="Q24" s="467"/>
    </row>
    <row r="25" spans="1:122" s="277" customFormat="1" ht="15.5">
      <c r="A25" s="382" t="s">
        <v>134</v>
      </c>
      <c r="B25" s="465"/>
      <c r="C25" s="468"/>
      <c r="D25" s="468"/>
      <c r="E25" s="468"/>
      <c r="F25" s="468"/>
      <c r="G25" s="468"/>
      <c r="H25" s="468"/>
      <c r="I25" s="468"/>
      <c r="J25" s="468"/>
      <c r="K25" s="468"/>
      <c r="L25" s="468"/>
      <c r="M25" s="468"/>
      <c r="N25" s="469"/>
      <c r="O25" s="468"/>
      <c r="P25" s="466"/>
      <c r="Q25" s="470"/>
    </row>
    <row r="26" spans="1:122" s="277" customFormat="1" ht="13">
      <c r="A26" s="378" t="s">
        <v>135</v>
      </c>
      <c r="B26" s="471">
        <v>0</v>
      </c>
      <c r="C26" s="471">
        <v>0</v>
      </c>
      <c r="D26" s="471">
        <v>0</v>
      </c>
      <c r="E26" s="471">
        <v>0</v>
      </c>
      <c r="F26" s="471">
        <v>0</v>
      </c>
      <c r="G26" s="471">
        <v>0</v>
      </c>
      <c r="H26" s="471">
        <v>0</v>
      </c>
      <c r="I26" s="471">
        <v>0</v>
      </c>
      <c r="J26" s="471">
        <v>0</v>
      </c>
      <c r="K26" s="471">
        <v>0</v>
      </c>
      <c r="L26" s="471">
        <v>0</v>
      </c>
      <c r="M26" s="471">
        <v>0</v>
      </c>
      <c r="N26" s="543">
        <f t="shared" ref="N26:N30" si="2">SUM(B26:M26)</f>
        <v>0</v>
      </c>
      <c r="O26" s="472">
        <f>0+N26</f>
        <v>0</v>
      </c>
      <c r="P26" s="466"/>
      <c r="Q26" s="467"/>
    </row>
    <row r="27" spans="1:122" s="277" customFormat="1" ht="13">
      <c r="A27" s="377" t="s">
        <v>256</v>
      </c>
      <c r="B27" s="473">
        <v>0.49</v>
      </c>
      <c r="C27" s="473">
        <v>0</v>
      </c>
      <c r="D27" s="473">
        <v>66.239999999999995</v>
      </c>
      <c r="E27" s="473">
        <v>0</v>
      </c>
      <c r="F27" s="473">
        <v>2957</v>
      </c>
      <c r="G27" s="473">
        <v>0</v>
      </c>
      <c r="H27" s="473">
        <v>0</v>
      </c>
      <c r="I27" s="473">
        <v>0</v>
      </c>
      <c r="J27" s="473">
        <v>0</v>
      </c>
      <c r="K27" s="473">
        <v>0</v>
      </c>
      <c r="L27" s="473">
        <v>0</v>
      </c>
      <c r="M27" s="473">
        <v>0</v>
      </c>
      <c r="N27" s="544">
        <f t="shared" si="2"/>
        <v>3023.73</v>
      </c>
      <c r="O27" s="459">
        <f>79348+33670+134507+N27</f>
        <v>250548.73</v>
      </c>
      <c r="P27" s="466"/>
      <c r="Q27" s="467"/>
    </row>
    <row r="28" spans="1:122" s="277" customFormat="1" ht="15">
      <c r="A28" s="377" t="s">
        <v>302</v>
      </c>
      <c r="B28" s="473">
        <v>18233.669999999998</v>
      </c>
      <c r="C28" s="473">
        <v>17764.310000000005</v>
      </c>
      <c r="D28" s="473">
        <v>17228.580000000005</v>
      </c>
      <c r="E28" s="473">
        <v>11049.689999999997</v>
      </c>
      <c r="F28" s="473">
        <v>-154.67000000000371</v>
      </c>
      <c r="G28" s="473">
        <v>7055.180000000003</v>
      </c>
      <c r="H28" s="473">
        <v>6822.5999999999976</v>
      </c>
      <c r="I28" s="473">
        <v>0</v>
      </c>
      <c r="J28" s="473">
        <v>0</v>
      </c>
      <c r="K28" s="473">
        <v>0</v>
      </c>
      <c r="L28" s="473">
        <v>0</v>
      </c>
      <c r="M28" s="473">
        <v>0</v>
      </c>
      <c r="N28" s="544">
        <f t="shared" si="2"/>
        <v>77999.360000000001</v>
      </c>
      <c r="O28" s="459">
        <f>426330+346126+260890+N28</f>
        <v>1111345.3600000001</v>
      </c>
      <c r="P28" s="466"/>
      <c r="Q28" s="467"/>
    </row>
    <row r="29" spans="1:122" s="277" customFormat="1" ht="15">
      <c r="A29" s="377" t="s">
        <v>257</v>
      </c>
      <c r="B29" s="473">
        <v>2750</v>
      </c>
      <c r="C29" s="473">
        <v>0</v>
      </c>
      <c r="D29" s="473">
        <v>40201.350000000006</v>
      </c>
      <c r="E29" s="473">
        <v>1641.0499999999979</v>
      </c>
      <c r="F29" s="473">
        <v>40492.300000000003</v>
      </c>
      <c r="G29" s="473">
        <v>130793</v>
      </c>
      <c r="H29" s="473">
        <v>26672.05</v>
      </c>
      <c r="I29" s="473">
        <v>0</v>
      </c>
      <c r="J29" s="473">
        <v>0</v>
      </c>
      <c r="K29" s="473">
        <v>0</v>
      </c>
      <c r="L29" s="473">
        <v>0</v>
      </c>
      <c r="M29" s="473">
        <v>0</v>
      </c>
      <c r="N29" s="544">
        <f t="shared" si="2"/>
        <v>242549.75</v>
      </c>
      <c r="O29" s="459">
        <f>377868+1193884+886571+N29</f>
        <v>2700872.75</v>
      </c>
      <c r="P29" s="466"/>
      <c r="Q29" s="467"/>
    </row>
    <row r="30" spans="1:122" s="277" customFormat="1" ht="15">
      <c r="A30" s="377" t="s">
        <v>258</v>
      </c>
      <c r="B30" s="630">
        <v>-6384</v>
      </c>
      <c r="C30" s="474">
        <v>13721.5</v>
      </c>
      <c r="D30" s="474">
        <v>19500</v>
      </c>
      <c r="E30" s="474">
        <v>14712.5</v>
      </c>
      <c r="F30" s="474">
        <v>11061.6</v>
      </c>
      <c r="G30" s="474">
        <v>2837.5</v>
      </c>
      <c r="H30" s="474">
        <v>2960.14</v>
      </c>
      <c r="I30" s="474">
        <v>0</v>
      </c>
      <c r="J30" s="474">
        <v>0</v>
      </c>
      <c r="K30" s="474">
        <v>0</v>
      </c>
      <c r="L30" s="474">
        <v>0</v>
      </c>
      <c r="M30" s="474">
        <v>0</v>
      </c>
      <c r="N30" s="544">
        <f t="shared" si="2"/>
        <v>58409.24</v>
      </c>
      <c r="O30" s="475">
        <f>331980+92124+160561+N30</f>
        <v>643074.24</v>
      </c>
      <c r="P30" s="466"/>
      <c r="Q30" s="467"/>
    </row>
    <row r="31" spans="1:122" s="277" customFormat="1" ht="15.5">
      <c r="A31" s="381" t="s">
        <v>136</v>
      </c>
      <c r="B31" s="476">
        <f>SUM(B26:B30)</f>
        <v>14600.16</v>
      </c>
      <c r="C31" s="477">
        <f t="shared" ref="C31:M31" si="3">SUM(C26:C30)</f>
        <v>31485.810000000005</v>
      </c>
      <c r="D31" s="477">
        <f t="shared" si="3"/>
        <v>76996.170000000013</v>
      </c>
      <c r="E31" s="477">
        <f t="shared" si="3"/>
        <v>27403.239999999994</v>
      </c>
      <c r="F31" s="477">
        <f t="shared" si="3"/>
        <v>54356.229999999996</v>
      </c>
      <c r="G31" s="477">
        <f t="shared" si="3"/>
        <v>140685.68</v>
      </c>
      <c r="H31" s="477">
        <f t="shared" si="3"/>
        <v>36454.789999999994</v>
      </c>
      <c r="I31" s="477">
        <f t="shared" si="3"/>
        <v>0</v>
      </c>
      <c r="J31" s="477">
        <f t="shared" si="3"/>
        <v>0</v>
      </c>
      <c r="K31" s="477">
        <f t="shared" si="3"/>
        <v>0</v>
      </c>
      <c r="L31" s="477">
        <f t="shared" si="3"/>
        <v>0</v>
      </c>
      <c r="M31" s="477">
        <f t="shared" si="3"/>
        <v>0</v>
      </c>
      <c r="N31" s="542">
        <f>SUM(N26:N30)</f>
        <v>381982.07999999996</v>
      </c>
      <c r="O31" s="477">
        <f>SUM(O26:O30)</f>
        <v>4705841.08</v>
      </c>
      <c r="P31" s="464"/>
      <c r="Q31" s="478"/>
    </row>
    <row r="32" spans="1:122" s="277" customFormat="1" ht="13">
      <c r="A32" s="289"/>
      <c r="B32" s="479"/>
      <c r="C32" s="480"/>
      <c r="D32" s="480"/>
      <c r="E32" s="480"/>
      <c r="F32" s="480"/>
      <c r="G32" s="480"/>
      <c r="H32" s="480"/>
      <c r="I32" s="480"/>
      <c r="J32" s="480"/>
      <c r="K32" s="480"/>
      <c r="L32" s="480"/>
      <c r="M32" s="480"/>
      <c r="N32" s="480"/>
      <c r="O32" s="480"/>
      <c r="P32" s="481"/>
      <c r="Q32" s="482"/>
    </row>
    <row r="33" spans="1:17" s="277" customFormat="1" ht="15.5">
      <c r="A33" s="382" t="s">
        <v>137</v>
      </c>
      <c r="B33" s="465"/>
      <c r="C33" s="468"/>
      <c r="D33" s="468"/>
      <c r="E33" s="468"/>
      <c r="F33" s="468"/>
      <c r="G33" s="468"/>
      <c r="H33" s="468"/>
      <c r="I33" s="468"/>
      <c r="J33" s="468"/>
      <c r="K33" s="468"/>
      <c r="L33" s="468"/>
      <c r="M33" s="468"/>
      <c r="N33" s="469"/>
      <c r="O33" s="469"/>
      <c r="P33" s="466"/>
      <c r="Q33" s="470"/>
    </row>
    <row r="34" spans="1:17" s="277" customFormat="1" ht="15">
      <c r="A34" s="377" t="s">
        <v>138</v>
      </c>
      <c r="B34" s="471">
        <v>0</v>
      </c>
      <c r="C34" s="471">
        <v>0</v>
      </c>
      <c r="D34" s="471">
        <v>0</v>
      </c>
      <c r="E34" s="471">
        <v>0</v>
      </c>
      <c r="F34" s="471">
        <v>0</v>
      </c>
      <c r="G34" s="471">
        <v>0</v>
      </c>
      <c r="H34" s="471">
        <v>0</v>
      </c>
      <c r="I34" s="471">
        <v>0</v>
      </c>
      <c r="J34" s="471">
        <v>0</v>
      </c>
      <c r="K34" s="471">
        <v>0</v>
      </c>
      <c r="L34" s="471">
        <v>0</v>
      </c>
      <c r="M34" s="471">
        <v>0</v>
      </c>
      <c r="N34" s="543">
        <f t="shared" ref="N34:N37" si="4">SUM(B34:M34)</f>
        <v>0</v>
      </c>
      <c r="O34" s="472">
        <f>0+N34</f>
        <v>0</v>
      </c>
      <c r="P34" s="466"/>
      <c r="Q34" s="467"/>
    </row>
    <row r="35" spans="1:17" s="277" customFormat="1" ht="13">
      <c r="A35" s="378" t="s">
        <v>139</v>
      </c>
      <c r="B35" s="473">
        <v>1375</v>
      </c>
      <c r="C35" s="473">
        <v>0</v>
      </c>
      <c r="D35" s="473">
        <v>13223.7</v>
      </c>
      <c r="E35" s="473">
        <v>1115.5099999999998</v>
      </c>
      <c r="F35" s="473">
        <v>12087</v>
      </c>
      <c r="G35" s="473">
        <v>44457.490000000005</v>
      </c>
      <c r="H35" s="473">
        <v>10722.029999999997</v>
      </c>
      <c r="I35" s="473">
        <v>0</v>
      </c>
      <c r="J35" s="473">
        <v>0</v>
      </c>
      <c r="K35" s="473">
        <v>0</v>
      </c>
      <c r="L35" s="473">
        <v>0</v>
      </c>
      <c r="M35" s="473">
        <v>0</v>
      </c>
      <c r="N35" s="544">
        <f t="shared" si="4"/>
        <v>82980.73000000001</v>
      </c>
      <c r="O35" s="459">
        <f>344661+585375+472450+N35</f>
        <v>1485466.73</v>
      </c>
      <c r="P35" s="466"/>
      <c r="Q35" s="467"/>
    </row>
    <row r="36" spans="1:17" s="277" customFormat="1" ht="14.25" customHeight="1">
      <c r="A36" s="377" t="s">
        <v>140</v>
      </c>
      <c r="B36" s="473">
        <v>3942.05</v>
      </c>
      <c r="C36" s="473">
        <v>9833.75</v>
      </c>
      <c r="D36" s="473">
        <v>23203.510000000002</v>
      </c>
      <c r="E36" s="473">
        <v>12722.3</v>
      </c>
      <c r="F36" s="473">
        <v>21936.25</v>
      </c>
      <c r="G36" s="473">
        <v>32695.199999999997</v>
      </c>
      <c r="H36" s="473">
        <v>10561.84</v>
      </c>
      <c r="I36" s="473">
        <v>0</v>
      </c>
      <c r="J36" s="473">
        <v>0</v>
      </c>
      <c r="K36" s="473">
        <v>0</v>
      </c>
      <c r="L36" s="473">
        <v>0</v>
      </c>
      <c r="M36" s="473">
        <v>0</v>
      </c>
      <c r="N36" s="544">
        <f t="shared" si="4"/>
        <v>114894.9</v>
      </c>
      <c r="O36" s="459">
        <f>314336+384698+349337+N36</f>
        <v>1163265.8999999999</v>
      </c>
      <c r="P36" s="466"/>
      <c r="Q36" s="467"/>
    </row>
    <row r="37" spans="1:17" s="277" customFormat="1" ht="13">
      <c r="A37" s="377" t="s">
        <v>141</v>
      </c>
      <c r="B37" s="474">
        <v>9283.14</v>
      </c>
      <c r="C37" s="474">
        <v>21652.060000000005</v>
      </c>
      <c r="D37" s="474">
        <v>40568.949999999997</v>
      </c>
      <c r="E37" s="474">
        <v>13565.46</v>
      </c>
      <c r="F37" s="474">
        <v>20333</v>
      </c>
      <c r="G37" s="474">
        <v>63533.05</v>
      </c>
      <c r="H37" s="474">
        <v>15170.999999999998</v>
      </c>
      <c r="I37" s="474">
        <v>0</v>
      </c>
      <c r="J37" s="474">
        <v>0</v>
      </c>
      <c r="K37" s="474">
        <v>0</v>
      </c>
      <c r="L37" s="474">
        <v>0</v>
      </c>
      <c r="M37" s="474">
        <v>0</v>
      </c>
      <c r="N37" s="544">
        <f t="shared" si="4"/>
        <v>184106.65999999997</v>
      </c>
      <c r="O37" s="475">
        <f>556529+695730+620743+N37</f>
        <v>2057108.66</v>
      </c>
      <c r="P37" s="466"/>
      <c r="Q37" s="467"/>
    </row>
    <row r="38" spans="1:17" s="277" customFormat="1" ht="15.5">
      <c r="A38" s="381" t="s">
        <v>142</v>
      </c>
      <c r="B38" s="476">
        <f t="shared" ref="B38:M38" si="5">SUM(B34:B37)</f>
        <v>14600.189999999999</v>
      </c>
      <c r="C38" s="477">
        <f t="shared" si="5"/>
        <v>31485.810000000005</v>
      </c>
      <c r="D38" s="477">
        <f>SUM(D34:D37)</f>
        <v>76996.160000000003</v>
      </c>
      <c r="E38" s="477">
        <f t="shared" si="5"/>
        <v>27403.269999999997</v>
      </c>
      <c r="F38" s="477">
        <f t="shared" si="5"/>
        <v>54356.25</v>
      </c>
      <c r="G38" s="477">
        <f>SUM(G34:G37)</f>
        <v>140685.74</v>
      </c>
      <c r="H38" s="477">
        <f t="shared" si="5"/>
        <v>36454.869999999995</v>
      </c>
      <c r="I38" s="477">
        <f t="shared" si="5"/>
        <v>0</v>
      </c>
      <c r="J38" s="477">
        <f t="shared" si="5"/>
        <v>0</v>
      </c>
      <c r="K38" s="477">
        <f t="shared" si="5"/>
        <v>0</v>
      </c>
      <c r="L38" s="477">
        <f t="shared" si="5"/>
        <v>0</v>
      </c>
      <c r="M38" s="477">
        <f t="shared" si="5"/>
        <v>0</v>
      </c>
      <c r="N38" s="542">
        <f>SUM(N34:N37)</f>
        <v>381982.29</v>
      </c>
      <c r="O38" s="462">
        <f>SUM(O34:O37)</f>
        <v>4705841.29</v>
      </c>
      <c r="P38" s="464">
        <f>SUM(P34:P37)</f>
        <v>0</v>
      </c>
      <c r="Q38" s="478"/>
    </row>
    <row r="39" spans="1:17" s="277" customFormat="1" ht="13">
      <c r="B39" s="280"/>
      <c r="C39" s="280"/>
      <c r="D39" s="280"/>
      <c r="E39" s="280"/>
      <c r="F39" s="280"/>
      <c r="G39" s="280"/>
      <c r="H39" s="280"/>
      <c r="I39" s="280"/>
      <c r="J39" s="280"/>
      <c r="K39" s="280"/>
      <c r="L39" s="280"/>
      <c r="M39" s="280"/>
      <c r="O39" s="280"/>
      <c r="P39" s="280"/>
      <c r="Q39" s="280"/>
    </row>
    <row r="40" spans="1:17" s="277" customFormat="1" ht="14">
      <c r="A40" s="441" t="s">
        <v>63</v>
      </c>
      <c r="B40" s="284"/>
      <c r="C40" s="284"/>
      <c r="D40" s="284"/>
      <c r="E40" s="284"/>
      <c r="F40" s="284"/>
      <c r="G40" s="284"/>
      <c r="H40" s="284"/>
      <c r="I40" s="284"/>
      <c r="J40" s="284"/>
      <c r="K40" s="284"/>
      <c r="L40" s="284"/>
      <c r="M40" s="284"/>
      <c r="N40" s="283"/>
      <c r="O40" s="552"/>
      <c r="P40" s="284"/>
      <c r="Q40" s="284"/>
    </row>
    <row r="41" spans="1:17" s="514" customFormat="1" ht="16.5">
      <c r="A41" s="312" t="s">
        <v>275</v>
      </c>
      <c r="D41" s="515"/>
      <c r="E41" s="516"/>
      <c r="F41" s="515"/>
      <c r="N41" s="513"/>
    </row>
    <row r="42" spans="1:17" ht="16.5">
      <c r="A42" s="312" t="s">
        <v>278</v>
      </c>
      <c r="D42" s="261"/>
      <c r="E42" s="210"/>
      <c r="F42" s="261"/>
      <c r="N42" s="312"/>
    </row>
    <row r="43" spans="1:17" ht="16">
      <c r="A43" s="312" t="s">
        <v>307</v>
      </c>
      <c r="D43" s="261"/>
      <c r="E43" s="210"/>
      <c r="F43" s="261"/>
      <c r="N43" s="312"/>
    </row>
    <row r="44" spans="1:17" ht="16.5">
      <c r="A44" s="312" t="s">
        <v>308</v>
      </c>
      <c r="D44" s="261"/>
      <c r="E44" s="210"/>
      <c r="F44" s="261"/>
      <c r="N44" s="323"/>
    </row>
    <row r="45" spans="1:17" ht="14">
      <c r="A45" s="235" t="s">
        <v>64</v>
      </c>
      <c r="E45" s="266"/>
      <c r="F45" s="261"/>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60"/>
  <sheetViews>
    <sheetView showGridLines="0" zoomScale="120" zoomScaleNormal="120" zoomScaleSheetLayoutView="80" workbookViewId="0">
      <pane xSplit="1" ySplit="9" topLeftCell="G25" activePane="bottomRight" state="frozen"/>
      <selection activeCell="B55" sqref="B55"/>
      <selection pane="topRight" activeCell="B55" sqref="B55"/>
      <selection pane="bottomLeft" activeCell="B55" sqref="B55"/>
      <selection pane="bottomRight" activeCell="J40" sqref="J40"/>
    </sheetView>
  </sheetViews>
  <sheetFormatPr defaultColWidth="9.26953125" defaultRowHeight="12.5"/>
  <cols>
    <col min="1" max="1" width="95.2695312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4.1796875" style="130" bestFit="1" customWidth="1"/>
    <col min="15" max="15" width="16" style="517" customWidth="1"/>
    <col min="16" max="16" width="17.26953125" style="130" customWidth="1"/>
    <col min="17" max="17" width="14.7265625" style="130" customWidth="1"/>
    <col min="18" max="18" width="13.453125" style="130" bestFit="1" customWidth="1"/>
    <col min="19" max="19" width="19.54296875" style="130" bestFit="1" customWidth="1"/>
    <col min="20" max="20" width="9.26953125" style="130"/>
    <col min="21" max="21" width="8.54296875" style="130" bestFit="1" customWidth="1"/>
    <col min="22" max="22" width="12.54296875" style="130" customWidth="1"/>
    <col min="23" max="16384" width="9.26953125" style="130"/>
  </cols>
  <sheetData>
    <row r="2" spans="1:22" ht="13">
      <c r="A2" s="129"/>
      <c r="G2" s="148" t="s">
        <v>143</v>
      </c>
    </row>
    <row r="3" spans="1:22" ht="13">
      <c r="A3" s="129"/>
      <c r="G3" s="148" t="s">
        <v>144</v>
      </c>
    </row>
    <row r="4" spans="1:22" ht="13">
      <c r="A4" s="129"/>
      <c r="F4" s="197"/>
      <c r="G4" s="198" t="str">
        <f>'Program MW '!H3</f>
        <v>July 2021</v>
      </c>
      <c r="H4" s="197"/>
      <c r="I4" s="197"/>
      <c r="N4" s="677"/>
    </row>
    <row r="5" spans="1:22" ht="13">
      <c r="A5" s="129"/>
      <c r="B5" s="650"/>
      <c r="C5" s="650"/>
      <c r="D5" s="650"/>
      <c r="E5" s="650"/>
      <c r="F5" s="650"/>
      <c r="G5" s="650"/>
      <c r="H5" s="650"/>
      <c r="I5" s="650"/>
      <c r="J5" s="650"/>
      <c r="K5" s="650"/>
      <c r="L5" s="650"/>
      <c r="M5" s="650"/>
      <c r="N5" s="650"/>
    </row>
    <row r="6" spans="1:22" ht="13" thickBot="1">
      <c r="B6" s="650"/>
      <c r="C6" s="650"/>
      <c r="D6" s="650"/>
      <c r="E6" s="652"/>
      <c r="F6" s="652"/>
      <c r="G6" s="650"/>
      <c r="H6" s="650"/>
      <c r="I6" s="650"/>
      <c r="J6" s="650"/>
      <c r="K6" s="650"/>
      <c r="L6" s="650"/>
      <c r="M6" s="650"/>
      <c r="N6" s="650"/>
    </row>
    <row r="7" spans="1:22" ht="13">
      <c r="A7" s="296"/>
      <c r="B7" s="131"/>
      <c r="C7" s="131"/>
      <c r="D7" s="131"/>
      <c r="E7" s="653"/>
      <c r="F7" s="653"/>
      <c r="G7" s="131"/>
      <c r="H7" s="131"/>
      <c r="I7" s="131"/>
      <c r="J7" s="131"/>
      <c r="K7" s="131"/>
      <c r="L7" s="131"/>
      <c r="M7" s="132"/>
      <c r="N7" s="132"/>
      <c r="O7" s="518"/>
      <c r="P7" s="133"/>
      <c r="Q7" s="133"/>
      <c r="R7" s="290"/>
    </row>
    <row r="8" spans="1:22" ht="9" customHeight="1">
      <c r="A8" s="297"/>
      <c r="B8" s="134"/>
      <c r="C8" s="134"/>
      <c r="D8" s="134"/>
      <c r="E8" s="654"/>
      <c r="F8" s="654"/>
      <c r="G8" s="134"/>
      <c r="H8" s="134"/>
      <c r="I8" s="134"/>
      <c r="J8" s="134"/>
      <c r="K8" s="134"/>
      <c r="L8" s="134"/>
      <c r="M8" s="135"/>
      <c r="N8" s="135"/>
      <c r="O8" s="519"/>
      <c r="P8" s="136"/>
      <c r="Q8" s="136"/>
      <c r="R8" s="291"/>
    </row>
    <row r="9" spans="1:22" ht="57.75" customHeight="1">
      <c r="A9" s="361" t="s">
        <v>145</v>
      </c>
      <c r="B9" s="369" t="s">
        <v>41</v>
      </c>
      <c r="C9" s="259" t="s">
        <v>42</v>
      </c>
      <c r="D9" s="259" t="s">
        <v>43</v>
      </c>
      <c r="E9" s="655" t="s">
        <v>44</v>
      </c>
      <c r="F9" s="655" t="s">
        <v>31</v>
      </c>
      <c r="G9" s="259" t="s">
        <v>45</v>
      </c>
      <c r="H9" s="259" t="s">
        <v>59</v>
      </c>
      <c r="I9" s="260" t="s">
        <v>60</v>
      </c>
      <c r="J9" s="260" t="s">
        <v>67</v>
      </c>
      <c r="K9" s="259" t="s">
        <v>61</v>
      </c>
      <c r="L9" s="259" t="s">
        <v>68</v>
      </c>
      <c r="M9" s="259" t="s">
        <v>62</v>
      </c>
      <c r="N9" s="137" t="s">
        <v>241</v>
      </c>
      <c r="O9" s="520" t="s">
        <v>242</v>
      </c>
      <c r="P9" s="137" t="s">
        <v>146</v>
      </c>
      <c r="Q9" s="137" t="s">
        <v>147</v>
      </c>
      <c r="R9" s="137" t="s">
        <v>148</v>
      </c>
    </row>
    <row r="10" spans="1:22" ht="13">
      <c r="A10" s="298" t="s">
        <v>149</v>
      </c>
      <c r="B10" s="370"/>
      <c r="C10" s="15"/>
      <c r="D10" s="15"/>
      <c r="E10" s="656"/>
      <c r="F10" s="657"/>
      <c r="G10" s="256"/>
      <c r="H10" s="138"/>
      <c r="I10" s="138"/>
      <c r="J10" s="138"/>
      <c r="K10" s="138"/>
      <c r="L10" s="138"/>
      <c r="M10" s="534"/>
      <c r="N10" s="536"/>
      <c r="O10" s="521" t="s">
        <v>56</v>
      </c>
      <c r="P10" s="310"/>
      <c r="Q10" s="139"/>
      <c r="R10" s="139"/>
    </row>
    <row r="11" spans="1:22">
      <c r="A11" s="299" t="s">
        <v>150</v>
      </c>
      <c r="B11" s="601">
        <v>130414</v>
      </c>
      <c r="C11" s="601">
        <v>8364</v>
      </c>
      <c r="D11" s="601">
        <v>10848</v>
      </c>
      <c r="E11" s="619">
        <f>160254-SUM(B11:D11)</f>
        <v>10628</v>
      </c>
      <c r="F11" s="619">
        <v>12351</v>
      </c>
      <c r="G11" s="601">
        <v>13271.69</v>
      </c>
      <c r="H11" s="601">
        <v>11670.65</v>
      </c>
      <c r="I11" s="601">
        <v>0</v>
      </c>
      <c r="J11" s="601">
        <v>0</v>
      </c>
      <c r="K11" s="601">
        <v>0</v>
      </c>
      <c r="L11" s="601">
        <v>0</v>
      </c>
      <c r="M11" s="601">
        <v>0</v>
      </c>
      <c r="N11" s="613">
        <f>SUM(B11:M11)</f>
        <v>197547.34</v>
      </c>
      <c r="O11" s="603">
        <f>911161+N11</f>
        <v>1108708.3400000001</v>
      </c>
      <c r="P11" s="604">
        <v>2869200</v>
      </c>
      <c r="Q11" s="602">
        <v>0</v>
      </c>
      <c r="R11" s="537">
        <f>+O11/P11</f>
        <v>0.38641723825456575</v>
      </c>
      <c r="S11" s="563"/>
      <c r="T11" s="564"/>
      <c r="U11" s="564"/>
      <c r="V11" s="565"/>
    </row>
    <row r="12" spans="1:22">
      <c r="A12" s="299" t="s">
        <v>151</v>
      </c>
      <c r="B12" s="601">
        <v>44397</v>
      </c>
      <c r="C12" s="601">
        <v>11855</v>
      </c>
      <c r="D12" s="601">
        <f>132690-C12-B12</f>
        <v>76438</v>
      </c>
      <c r="E12" s="619">
        <f>178067-SUM(B12:D12)</f>
        <v>45377</v>
      </c>
      <c r="F12" s="619">
        <v>42134</v>
      </c>
      <c r="G12" s="601">
        <v>48670.899999999994</v>
      </c>
      <c r="H12" s="601">
        <v>50157.36</v>
      </c>
      <c r="I12" s="601">
        <v>0</v>
      </c>
      <c r="J12" s="601">
        <v>0</v>
      </c>
      <c r="K12" s="601">
        <v>0</v>
      </c>
      <c r="L12" s="601">
        <v>0</v>
      </c>
      <c r="M12" s="601">
        <v>0</v>
      </c>
      <c r="N12" s="613">
        <f t="shared" ref="N12:N15" si="0">SUM(B12:M12)</f>
        <v>319029.26</v>
      </c>
      <c r="O12" s="603">
        <f>4136392+N12</f>
        <v>4455421.26</v>
      </c>
      <c r="P12" s="604">
        <v>9020700</v>
      </c>
      <c r="Q12" s="602">
        <v>0</v>
      </c>
      <c r="R12" s="537">
        <f t="shared" ref="R12:R15" si="1">+O12/P12</f>
        <v>0.49391081179952773</v>
      </c>
      <c r="S12" s="563"/>
      <c r="T12" s="564"/>
      <c r="U12" s="564"/>
      <c r="V12" s="565"/>
    </row>
    <row r="13" spans="1:22" ht="15">
      <c r="A13" s="299" t="s">
        <v>337</v>
      </c>
      <c r="B13" s="601">
        <v>23503</v>
      </c>
      <c r="C13" s="601">
        <v>5443</v>
      </c>
      <c r="D13" s="601">
        <f>54213-C13-B13</f>
        <v>25267</v>
      </c>
      <c r="E13" s="619">
        <v>6695</v>
      </c>
      <c r="F13" s="619">
        <v>7589</v>
      </c>
      <c r="G13" s="601">
        <v>8120.4399999999987</v>
      </c>
      <c r="H13" s="601">
        <v>7570.5499999999993</v>
      </c>
      <c r="I13" s="601">
        <v>0</v>
      </c>
      <c r="J13" s="601">
        <v>0</v>
      </c>
      <c r="K13" s="601">
        <v>0</v>
      </c>
      <c r="L13" s="601">
        <v>0</v>
      </c>
      <c r="M13" s="601">
        <v>0</v>
      </c>
      <c r="N13" s="613">
        <f t="shared" si="0"/>
        <v>84187.99</v>
      </c>
      <c r="O13" s="603">
        <f>534815+N13</f>
        <v>619002.99</v>
      </c>
      <c r="P13" s="604">
        <v>4664400</v>
      </c>
      <c r="Q13" s="602">
        <v>0</v>
      </c>
      <c r="R13" s="537">
        <f t="shared" si="1"/>
        <v>0.1327079560072035</v>
      </c>
      <c r="S13" s="563"/>
      <c r="T13" s="564"/>
      <c r="U13" s="564"/>
      <c r="V13" s="565"/>
    </row>
    <row r="14" spans="1:22">
      <c r="A14" s="299" t="s">
        <v>196</v>
      </c>
      <c r="B14" s="601">
        <v>6528</v>
      </c>
      <c r="C14" s="601">
        <v>9156</v>
      </c>
      <c r="D14" s="601">
        <f>25223-C14-B14</f>
        <v>9539</v>
      </c>
      <c r="E14" s="619">
        <f>46134-SUM(B14:D14)</f>
        <v>20911</v>
      </c>
      <c r="F14" s="619">
        <v>16437</v>
      </c>
      <c r="G14" s="601">
        <v>18691.11</v>
      </c>
      <c r="H14" s="601">
        <v>31062.91</v>
      </c>
      <c r="I14" s="601">
        <v>0</v>
      </c>
      <c r="J14" s="601">
        <v>0</v>
      </c>
      <c r="K14" s="601">
        <v>0</v>
      </c>
      <c r="L14" s="601">
        <v>0</v>
      </c>
      <c r="M14" s="601">
        <v>0</v>
      </c>
      <c r="N14" s="613">
        <f t="shared" si="0"/>
        <v>112325.02</v>
      </c>
      <c r="O14" s="603">
        <f>928210+N14</f>
        <v>1040535.02</v>
      </c>
      <c r="P14" s="602">
        <v>10301202</v>
      </c>
      <c r="Q14" s="602">
        <v>0</v>
      </c>
      <c r="R14" s="537">
        <f t="shared" si="1"/>
        <v>0.10101102958664436</v>
      </c>
      <c r="S14" s="563"/>
      <c r="T14" s="564"/>
      <c r="U14" s="564"/>
      <c r="V14" s="565"/>
    </row>
    <row r="15" spans="1:22" ht="14.5">
      <c r="A15" s="300" t="s">
        <v>152</v>
      </c>
      <c r="B15" s="605">
        <v>0</v>
      </c>
      <c r="C15" s="605">
        <v>0</v>
      </c>
      <c r="D15" s="605">
        <v>0</v>
      </c>
      <c r="E15" s="658">
        <v>0</v>
      </c>
      <c r="F15" s="658">
        <v>0</v>
      </c>
      <c r="G15" s="605">
        <v>0</v>
      </c>
      <c r="H15" s="605">
        <v>0</v>
      </c>
      <c r="I15" s="605">
        <v>0</v>
      </c>
      <c r="J15" s="605">
        <v>0</v>
      </c>
      <c r="K15" s="605">
        <v>0</v>
      </c>
      <c r="L15" s="605">
        <v>0</v>
      </c>
      <c r="M15" s="605">
        <v>0</v>
      </c>
      <c r="N15" s="602">
        <f t="shared" si="0"/>
        <v>0</v>
      </c>
      <c r="O15" s="603">
        <f>15326+N15</f>
        <v>15326</v>
      </c>
      <c r="P15" s="604">
        <v>20000</v>
      </c>
      <c r="Q15" s="602">
        <v>0</v>
      </c>
      <c r="R15" s="537">
        <f t="shared" si="1"/>
        <v>0.76629999999999998</v>
      </c>
      <c r="S15" s="563"/>
      <c r="T15" s="564"/>
      <c r="U15" s="564"/>
      <c r="V15" s="565"/>
    </row>
    <row r="16" spans="1:22" ht="13">
      <c r="A16" s="301" t="s">
        <v>153</v>
      </c>
      <c r="B16" s="605">
        <f>SUM(B11:B15)</f>
        <v>204842</v>
      </c>
      <c r="C16" s="606">
        <f t="shared" ref="C16:M16" si="2">SUM(C11:C15)</f>
        <v>34818</v>
      </c>
      <c r="D16" s="606">
        <f t="shared" si="2"/>
        <v>122092</v>
      </c>
      <c r="E16" s="606">
        <f t="shared" si="2"/>
        <v>83611</v>
      </c>
      <c r="F16" s="606">
        <f t="shared" si="2"/>
        <v>78511</v>
      </c>
      <c r="G16" s="606">
        <f t="shared" si="2"/>
        <v>88754.14</v>
      </c>
      <c r="H16" s="606">
        <f t="shared" si="2"/>
        <v>100461.47</v>
      </c>
      <c r="I16" s="606">
        <f t="shared" si="2"/>
        <v>0</v>
      </c>
      <c r="J16" s="606">
        <f t="shared" si="2"/>
        <v>0</v>
      </c>
      <c r="K16" s="606">
        <f>SUM(K11:K15)</f>
        <v>0</v>
      </c>
      <c r="L16" s="606">
        <f t="shared" si="2"/>
        <v>0</v>
      </c>
      <c r="M16" s="606">
        <f t="shared" si="2"/>
        <v>0</v>
      </c>
      <c r="N16" s="607">
        <f>SUM(N11:N15)</f>
        <v>713089.61</v>
      </c>
      <c r="O16" s="608">
        <f>SUM(O11:O15)</f>
        <v>7238993.6099999994</v>
      </c>
      <c r="P16" s="609">
        <f>SUM(P11:P15)</f>
        <v>26875502</v>
      </c>
      <c r="Q16" s="610">
        <f>SUM(Q11:Q15)</f>
        <v>0</v>
      </c>
      <c r="R16" s="538">
        <f>O16/P16</f>
        <v>0.26935287050638157</v>
      </c>
      <c r="S16" s="563"/>
      <c r="T16" s="564"/>
      <c r="U16" s="564"/>
      <c r="V16" s="565"/>
    </row>
    <row r="17" spans="1:22">
      <c r="A17" s="300"/>
      <c r="B17" s="601"/>
      <c r="C17" s="611"/>
      <c r="D17" s="611"/>
      <c r="E17" s="611"/>
      <c r="F17" s="612"/>
      <c r="G17" s="611"/>
      <c r="H17" s="612"/>
      <c r="I17" s="612"/>
      <c r="J17" s="612"/>
      <c r="K17" s="612"/>
      <c r="L17" s="612"/>
      <c r="M17" s="612"/>
      <c r="N17" s="602"/>
      <c r="O17" s="613"/>
      <c r="P17" s="604"/>
      <c r="Q17" s="602"/>
      <c r="R17" s="537"/>
      <c r="S17" s="563"/>
      <c r="T17" s="564"/>
      <c r="U17" s="564"/>
      <c r="V17" s="565"/>
    </row>
    <row r="18" spans="1:22" ht="13">
      <c r="A18" s="298" t="s">
        <v>154</v>
      </c>
      <c r="B18" s="601"/>
      <c r="C18" s="611"/>
      <c r="D18" s="611"/>
      <c r="E18" s="611"/>
      <c r="F18" s="612"/>
      <c r="G18" s="611"/>
      <c r="H18" s="612"/>
      <c r="I18" s="612"/>
      <c r="J18" s="612"/>
      <c r="K18" s="612"/>
      <c r="L18" s="612"/>
      <c r="M18" s="612"/>
      <c r="N18" s="602"/>
      <c r="O18" s="613"/>
      <c r="P18" s="604"/>
      <c r="Q18" s="602"/>
      <c r="R18" s="537"/>
      <c r="S18" s="563"/>
      <c r="T18" s="564"/>
      <c r="U18" s="564"/>
      <c r="V18" s="565"/>
    </row>
    <row r="19" spans="1:22">
      <c r="A19" s="299"/>
      <c r="B19" s="601">
        <v>0</v>
      </c>
      <c r="C19" s="611">
        <v>0</v>
      </c>
      <c r="D19" s="611">
        <v>0</v>
      </c>
      <c r="E19" s="611">
        <v>0</v>
      </c>
      <c r="F19" s="611">
        <v>0</v>
      </c>
      <c r="G19" s="611">
        <v>0</v>
      </c>
      <c r="H19" s="611">
        <v>0</v>
      </c>
      <c r="I19" s="611">
        <v>0</v>
      </c>
      <c r="J19" s="611">
        <v>0</v>
      </c>
      <c r="K19" s="611">
        <v>0</v>
      </c>
      <c r="L19" s="611">
        <v>0</v>
      </c>
      <c r="M19" s="611">
        <v>0</v>
      </c>
      <c r="N19" s="602">
        <f>SUM(B19:M19)</f>
        <v>0</v>
      </c>
      <c r="O19" s="603">
        <f>0+N19</f>
        <v>0</v>
      </c>
      <c r="P19" s="604">
        <v>0</v>
      </c>
      <c r="Q19" s="602">
        <v>0</v>
      </c>
      <c r="R19" s="537">
        <v>0</v>
      </c>
      <c r="S19" s="563"/>
      <c r="T19" s="564"/>
      <c r="U19" s="564"/>
      <c r="V19" s="565"/>
    </row>
    <row r="20" spans="1:22" ht="13">
      <c r="A20" s="301" t="s">
        <v>155</v>
      </c>
      <c r="B20" s="607">
        <f t="shared" ref="B20:M20" si="3">SUM(B19:B19)</f>
        <v>0</v>
      </c>
      <c r="C20" s="614">
        <f t="shared" si="3"/>
        <v>0</v>
      </c>
      <c r="D20" s="614">
        <f t="shared" si="3"/>
        <v>0</v>
      </c>
      <c r="E20" s="614">
        <f t="shared" si="3"/>
        <v>0</v>
      </c>
      <c r="F20" s="614">
        <f t="shared" si="3"/>
        <v>0</v>
      </c>
      <c r="G20" s="614">
        <f t="shared" si="3"/>
        <v>0</v>
      </c>
      <c r="H20" s="614">
        <f t="shared" si="3"/>
        <v>0</v>
      </c>
      <c r="I20" s="614">
        <f t="shared" si="3"/>
        <v>0</v>
      </c>
      <c r="J20" s="614">
        <f t="shared" si="3"/>
        <v>0</v>
      </c>
      <c r="K20" s="614">
        <f t="shared" si="3"/>
        <v>0</v>
      </c>
      <c r="L20" s="614">
        <f t="shared" si="3"/>
        <v>0</v>
      </c>
      <c r="M20" s="614">
        <f t="shared" si="3"/>
        <v>0</v>
      </c>
      <c r="N20" s="610">
        <f>SUM(N19:N19)</f>
        <v>0</v>
      </c>
      <c r="O20" s="615">
        <f>SUM(O19:O19)</f>
        <v>0</v>
      </c>
      <c r="P20" s="609">
        <f>SUM(P19:P19)</f>
        <v>0</v>
      </c>
      <c r="Q20" s="610">
        <f>SUM(Q19:Q19)</f>
        <v>0</v>
      </c>
      <c r="R20" s="539">
        <v>0</v>
      </c>
      <c r="S20" s="563"/>
      <c r="T20" s="564"/>
      <c r="U20" s="564"/>
      <c r="V20" s="565"/>
    </row>
    <row r="21" spans="1:22" ht="13">
      <c r="A21" s="302"/>
      <c r="B21" s="601"/>
      <c r="C21" s="611"/>
      <c r="D21" s="611"/>
      <c r="E21" s="611"/>
      <c r="F21" s="611"/>
      <c r="G21" s="611"/>
      <c r="H21" s="611"/>
      <c r="I21" s="611"/>
      <c r="J21" s="611"/>
      <c r="K21" s="611"/>
      <c r="L21" s="611"/>
      <c r="M21" s="611"/>
      <c r="N21" s="602"/>
      <c r="O21" s="613"/>
      <c r="P21" s="604"/>
      <c r="Q21" s="602"/>
      <c r="R21" s="540"/>
      <c r="S21" s="563"/>
      <c r="T21" s="564"/>
      <c r="U21" s="564"/>
      <c r="V21" s="565"/>
    </row>
    <row r="22" spans="1:22" ht="13">
      <c r="A22" s="298" t="s">
        <v>156</v>
      </c>
      <c r="B22" s="601"/>
      <c r="C22" s="611"/>
      <c r="D22" s="611"/>
      <c r="E22" s="611"/>
      <c r="F22" s="612"/>
      <c r="G22" s="611"/>
      <c r="H22" s="612"/>
      <c r="I22" s="612"/>
      <c r="J22" s="612"/>
      <c r="K22" s="612"/>
      <c r="L22" s="612"/>
      <c r="M22" s="612"/>
      <c r="N22" s="602"/>
      <c r="O22" s="613"/>
      <c r="P22" s="604"/>
      <c r="Q22" s="602"/>
      <c r="R22" s="537"/>
      <c r="S22" s="563"/>
      <c r="T22" s="564"/>
      <c r="U22" s="564"/>
      <c r="V22" s="565"/>
    </row>
    <row r="23" spans="1:22" ht="14.5">
      <c r="A23" s="299" t="s">
        <v>303</v>
      </c>
      <c r="B23" s="605">
        <v>96846</v>
      </c>
      <c r="C23" s="605">
        <v>105482</v>
      </c>
      <c r="D23" s="605">
        <f>469825-C23-B23</f>
        <v>267497</v>
      </c>
      <c r="E23" s="605">
        <f>493182-SUM(B23:D23)</f>
        <v>23357</v>
      </c>
      <c r="F23" s="605">
        <v>-19352</v>
      </c>
      <c r="G23" s="605">
        <v>320557.86999999994</v>
      </c>
      <c r="H23" s="605">
        <v>14894.960000000021</v>
      </c>
      <c r="I23" s="605">
        <v>0</v>
      </c>
      <c r="J23" s="605">
        <v>0</v>
      </c>
      <c r="K23" s="605">
        <v>0</v>
      </c>
      <c r="L23" s="605">
        <v>0</v>
      </c>
      <c r="M23" s="605">
        <v>0</v>
      </c>
      <c r="N23" s="602">
        <f>SUM(B23:M23)</f>
        <v>809282.82999999984</v>
      </c>
      <c r="O23" s="603">
        <f>3846745+N23</f>
        <v>4656027.83</v>
      </c>
      <c r="P23" s="604">
        <v>8320000</v>
      </c>
      <c r="Q23" s="602">
        <v>0</v>
      </c>
      <c r="R23" s="537">
        <f t="shared" ref="R23" si="4">+O23/P23</f>
        <v>0.55961872956730774</v>
      </c>
      <c r="S23" s="563"/>
      <c r="T23" s="564"/>
      <c r="U23" s="564"/>
      <c r="V23" s="565"/>
    </row>
    <row r="24" spans="1:22" ht="13">
      <c r="A24" s="301" t="s">
        <v>157</v>
      </c>
      <c r="B24" s="605">
        <f t="shared" ref="B24:M24" si="5">SUM(B23:B23)</f>
        <v>96846</v>
      </c>
      <c r="C24" s="606">
        <f t="shared" si="5"/>
        <v>105482</v>
      </c>
      <c r="D24" s="606">
        <f t="shared" si="5"/>
        <v>267497</v>
      </c>
      <c r="E24" s="606">
        <f t="shared" si="5"/>
        <v>23357</v>
      </c>
      <c r="F24" s="606">
        <f t="shared" si="5"/>
        <v>-19352</v>
      </c>
      <c r="G24" s="606">
        <f t="shared" si="5"/>
        <v>320557.86999999994</v>
      </c>
      <c r="H24" s="606">
        <f t="shared" si="5"/>
        <v>14894.960000000021</v>
      </c>
      <c r="I24" s="606">
        <f t="shared" si="5"/>
        <v>0</v>
      </c>
      <c r="J24" s="606">
        <f t="shared" si="5"/>
        <v>0</v>
      </c>
      <c r="K24" s="606">
        <f t="shared" si="5"/>
        <v>0</v>
      </c>
      <c r="L24" s="606">
        <f t="shared" si="5"/>
        <v>0</v>
      </c>
      <c r="M24" s="606">
        <f t="shared" si="5"/>
        <v>0</v>
      </c>
      <c r="N24" s="610">
        <f>SUM(N23:N23)</f>
        <v>809282.82999999984</v>
      </c>
      <c r="O24" s="615">
        <f>O23</f>
        <v>4656027.83</v>
      </c>
      <c r="P24" s="609">
        <f>SUM(P23:P23)</f>
        <v>8320000</v>
      </c>
      <c r="Q24" s="610">
        <f>SUM(Q23:Q23)</f>
        <v>0</v>
      </c>
      <c r="R24" s="539">
        <f>O24/P24</f>
        <v>0.55961872956730774</v>
      </c>
      <c r="S24" s="563"/>
      <c r="T24" s="564"/>
      <c r="U24" s="564"/>
      <c r="V24" s="565"/>
    </row>
    <row r="25" spans="1:22" ht="13">
      <c r="A25" s="298"/>
      <c r="B25" s="601"/>
      <c r="C25" s="611"/>
      <c r="D25" s="611"/>
      <c r="E25" s="611"/>
      <c r="F25" s="612"/>
      <c r="G25" s="611"/>
      <c r="H25" s="612"/>
      <c r="I25" s="612"/>
      <c r="J25" s="612"/>
      <c r="K25" s="612"/>
      <c r="L25" s="612"/>
      <c r="M25" s="612"/>
      <c r="N25" s="602"/>
      <c r="O25" s="613"/>
      <c r="P25" s="604"/>
      <c r="Q25" s="602"/>
      <c r="R25" s="537"/>
      <c r="S25" s="563"/>
      <c r="T25" s="564"/>
      <c r="U25" s="564"/>
      <c r="V25" s="565"/>
    </row>
    <row r="26" spans="1:22" ht="13">
      <c r="A26" s="298" t="s">
        <v>158</v>
      </c>
      <c r="B26" s="601"/>
      <c r="C26" s="611"/>
      <c r="D26" s="611"/>
      <c r="E26" s="611"/>
      <c r="F26" s="612"/>
      <c r="G26" s="611"/>
      <c r="H26" s="612"/>
      <c r="I26" s="612"/>
      <c r="J26" s="612"/>
      <c r="K26" s="612"/>
      <c r="L26" s="612"/>
      <c r="M26" s="612"/>
      <c r="N26" s="602"/>
      <c r="O26" s="613"/>
      <c r="P26" s="604"/>
      <c r="Q26" s="602"/>
      <c r="R26" s="537"/>
      <c r="S26" s="563"/>
      <c r="T26" s="564"/>
      <c r="U26" s="564"/>
      <c r="V26" s="565"/>
    </row>
    <row r="27" spans="1:22">
      <c r="A27" s="299" t="s">
        <v>159</v>
      </c>
      <c r="B27" s="616">
        <v>22999</v>
      </c>
      <c r="C27" s="616">
        <v>17650</v>
      </c>
      <c r="D27" s="616">
        <v>50081</v>
      </c>
      <c r="E27" s="616">
        <v>21035</v>
      </c>
      <c r="F27" s="616">
        <v>41123</v>
      </c>
      <c r="G27" s="616">
        <v>14076.98</v>
      </c>
      <c r="H27" s="616">
        <v>15605.669999999998</v>
      </c>
      <c r="I27" s="616">
        <v>0</v>
      </c>
      <c r="J27" s="616">
        <v>0</v>
      </c>
      <c r="K27" s="616">
        <v>0</v>
      </c>
      <c r="L27" s="616">
        <v>0</v>
      </c>
      <c r="M27" s="616">
        <v>0</v>
      </c>
      <c r="N27" s="602">
        <f>SUM(B27:M27)</f>
        <v>182570.65000000002</v>
      </c>
      <c r="O27" s="603">
        <f>1326267+N27</f>
        <v>1508837.65</v>
      </c>
      <c r="P27" s="604">
        <v>3483000</v>
      </c>
      <c r="Q27" s="602">
        <v>0</v>
      </c>
      <c r="R27" s="537">
        <f t="shared" ref="R27:R29" si="6">+O27/P27</f>
        <v>0.43320058857306915</v>
      </c>
      <c r="S27" s="563"/>
      <c r="T27" s="564"/>
      <c r="U27" s="564"/>
      <c r="V27" s="565"/>
    </row>
    <row r="28" spans="1:22">
      <c r="A28" s="299" t="s">
        <v>160</v>
      </c>
      <c r="B28" s="601">
        <v>29511</v>
      </c>
      <c r="C28" s="601">
        <v>26533</v>
      </c>
      <c r="D28" s="601">
        <v>28341</v>
      </c>
      <c r="E28" s="601">
        <f>124759-SUM(B28:D28)</f>
        <v>40374</v>
      </c>
      <c r="F28" s="601">
        <v>18416</v>
      </c>
      <c r="G28" s="601">
        <v>28532.93</v>
      </c>
      <c r="H28" s="601">
        <v>28883.03</v>
      </c>
      <c r="I28" s="601">
        <v>0</v>
      </c>
      <c r="J28" s="601">
        <v>0</v>
      </c>
      <c r="K28" s="601">
        <v>0</v>
      </c>
      <c r="L28" s="601">
        <v>0</v>
      </c>
      <c r="M28" s="601">
        <v>0</v>
      </c>
      <c r="N28" s="602">
        <f>SUM(B28:M28)</f>
        <v>200590.96</v>
      </c>
      <c r="O28" s="603">
        <f>1608647+N28</f>
        <v>1809237.96</v>
      </c>
      <c r="P28" s="604">
        <v>3794000</v>
      </c>
      <c r="Q28" s="602">
        <v>0</v>
      </c>
      <c r="R28" s="537">
        <f t="shared" si="6"/>
        <v>0.47686820242488137</v>
      </c>
      <c r="S28" s="563"/>
      <c r="T28" s="564"/>
      <c r="U28" s="564"/>
      <c r="V28" s="565"/>
    </row>
    <row r="29" spans="1:22">
      <c r="A29" s="303" t="s">
        <v>161</v>
      </c>
      <c r="B29" s="605">
        <v>7417</v>
      </c>
      <c r="C29" s="605">
        <v>9018</v>
      </c>
      <c r="D29" s="605">
        <v>10206</v>
      </c>
      <c r="E29" s="605">
        <f>51904-SUM(B29:D29)</f>
        <v>25263</v>
      </c>
      <c r="F29" s="605">
        <v>7642</v>
      </c>
      <c r="G29" s="605">
        <v>10083.32</v>
      </c>
      <c r="H29" s="605">
        <v>8791.14</v>
      </c>
      <c r="I29" s="605">
        <v>0</v>
      </c>
      <c r="J29" s="605">
        <v>0</v>
      </c>
      <c r="K29" s="605">
        <v>0</v>
      </c>
      <c r="L29" s="605">
        <v>0</v>
      </c>
      <c r="M29" s="605">
        <v>0</v>
      </c>
      <c r="N29" s="602">
        <f>SUM(B29:M29)</f>
        <v>78420.460000000006</v>
      </c>
      <c r="O29" s="603">
        <f>968425+N29</f>
        <v>1046845.46</v>
      </c>
      <c r="P29" s="602">
        <v>11267000</v>
      </c>
      <c r="Q29" s="602">
        <v>0</v>
      </c>
      <c r="R29" s="537">
        <f t="shared" si="6"/>
        <v>9.2912528623413509E-2</v>
      </c>
      <c r="S29" s="563"/>
      <c r="T29" s="564"/>
      <c r="U29" s="564"/>
      <c r="V29" s="565"/>
    </row>
    <row r="30" spans="1:22" ht="13">
      <c r="A30" s="301" t="s">
        <v>162</v>
      </c>
      <c r="B30" s="605">
        <f t="shared" ref="B30:I30" si="7">SUM(B27:B29)</f>
        <v>59927</v>
      </c>
      <c r="C30" s="606">
        <f t="shared" si="7"/>
        <v>53201</v>
      </c>
      <c r="D30" s="606">
        <f t="shared" si="7"/>
        <v>88628</v>
      </c>
      <c r="E30" s="606">
        <f>SUM(E27:E29)</f>
        <v>86672</v>
      </c>
      <c r="F30" s="617">
        <f t="shared" si="7"/>
        <v>67181</v>
      </c>
      <c r="G30" s="606">
        <f t="shared" si="7"/>
        <v>52693.23</v>
      </c>
      <c r="H30" s="617">
        <f t="shared" si="7"/>
        <v>53279.839999999997</v>
      </c>
      <c r="I30" s="617">
        <f t="shared" si="7"/>
        <v>0</v>
      </c>
      <c r="J30" s="617">
        <f>SUM(J27:J29)</f>
        <v>0</v>
      </c>
      <c r="K30" s="617">
        <f>SUM(K27:K29)</f>
        <v>0</v>
      </c>
      <c r="L30" s="617">
        <f>SUM(L27:L29)</f>
        <v>0</v>
      </c>
      <c r="M30" s="617">
        <f t="shared" ref="M30:Q30" si="8">SUM(M27:M29)</f>
        <v>0</v>
      </c>
      <c r="N30" s="610">
        <f t="shared" si="8"/>
        <v>461582.07</v>
      </c>
      <c r="O30" s="615">
        <f t="shared" si="8"/>
        <v>4364921.07</v>
      </c>
      <c r="P30" s="609">
        <f>SUM(P27:P29)</f>
        <v>18544000</v>
      </c>
      <c r="Q30" s="610">
        <f t="shared" si="8"/>
        <v>0</v>
      </c>
      <c r="R30" s="539">
        <f>O30/P30</f>
        <v>0.23538185235116482</v>
      </c>
      <c r="S30" s="563"/>
      <c r="T30" s="564"/>
      <c r="U30" s="564"/>
      <c r="V30" s="565"/>
    </row>
    <row r="31" spans="1:22">
      <c r="A31" s="299"/>
      <c r="B31" s="601"/>
      <c r="C31" s="611"/>
      <c r="D31" s="611"/>
      <c r="E31" s="611"/>
      <c r="F31" s="612"/>
      <c r="G31" s="611"/>
      <c r="H31" s="612"/>
      <c r="I31" s="612"/>
      <c r="J31" s="612"/>
      <c r="K31" s="612"/>
      <c r="L31" s="612"/>
      <c r="M31" s="612"/>
      <c r="N31" s="602"/>
      <c r="O31" s="613"/>
      <c r="P31" s="604"/>
      <c r="Q31" s="602"/>
      <c r="R31" s="537"/>
      <c r="S31" s="563"/>
      <c r="T31" s="564"/>
      <c r="U31" s="564"/>
      <c r="V31" s="565"/>
    </row>
    <row r="32" spans="1:22" ht="13">
      <c r="A32" s="298" t="s">
        <v>163</v>
      </c>
      <c r="B32" s="601"/>
      <c r="C32" s="611"/>
      <c r="D32" s="611"/>
      <c r="E32" s="611"/>
      <c r="F32" s="612"/>
      <c r="G32" s="611"/>
      <c r="H32" s="612"/>
      <c r="I32" s="612"/>
      <c r="J32" s="612"/>
      <c r="K32" s="612"/>
      <c r="L32" s="612"/>
      <c r="M32" s="612"/>
      <c r="N32" s="602"/>
      <c r="O32" s="613"/>
      <c r="P32" s="604"/>
      <c r="Q32" s="602"/>
      <c r="R32" s="537"/>
      <c r="S32" s="563"/>
      <c r="T32" s="564"/>
      <c r="U32" s="564"/>
      <c r="V32" s="565"/>
    </row>
    <row r="33" spans="1:22">
      <c r="A33" s="299" t="s">
        <v>164</v>
      </c>
      <c r="B33" s="616">
        <v>0</v>
      </c>
      <c r="C33" s="616">
        <v>0</v>
      </c>
      <c r="D33" s="616">
        <v>0</v>
      </c>
      <c r="E33" s="616">
        <v>0</v>
      </c>
      <c r="F33" s="616">
        <v>0</v>
      </c>
      <c r="G33" s="616">
        <v>0</v>
      </c>
      <c r="H33" s="616">
        <v>0</v>
      </c>
      <c r="I33" s="616">
        <v>0</v>
      </c>
      <c r="J33" s="616">
        <v>0</v>
      </c>
      <c r="K33" s="616">
        <v>0</v>
      </c>
      <c r="L33" s="616">
        <v>0</v>
      </c>
      <c r="M33" s="616">
        <v>0</v>
      </c>
      <c r="N33" s="602">
        <f>SUM(B33:M33)</f>
        <v>0</v>
      </c>
      <c r="O33" s="603">
        <f>8111.66+N33</f>
        <v>8111.66</v>
      </c>
      <c r="P33" s="604">
        <v>2507000</v>
      </c>
      <c r="Q33" s="602">
        <v>0</v>
      </c>
      <c r="R33" s="537">
        <f t="shared" ref="R33:R36" si="9">+O33/P33</f>
        <v>3.2356043079377742E-3</v>
      </c>
      <c r="S33" s="563"/>
      <c r="T33" s="564"/>
      <c r="U33" s="564"/>
      <c r="V33" s="565"/>
    </row>
    <row r="34" spans="1:22">
      <c r="A34" s="299" t="s">
        <v>165</v>
      </c>
      <c r="B34" s="601">
        <v>111344</v>
      </c>
      <c r="C34" s="601">
        <v>1498</v>
      </c>
      <c r="D34" s="601">
        <f>114985-B34-C34</f>
        <v>2143</v>
      </c>
      <c r="E34" s="601">
        <f>116939-SUM(B34:D34)</f>
        <v>1954</v>
      </c>
      <c r="F34" s="601">
        <v>1678</v>
      </c>
      <c r="G34" s="601">
        <v>621.53</v>
      </c>
      <c r="H34" s="601">
        <v>3349.6</v>
      </c>
      <c r="I34" s="601">
        <v>0</v>
      </c>
      <c r="J34" s="601">
        <v>0</v>
      </c>
      <c r="K34" s="601">
        <v>0</v>
      </c>
      <c r="L34" s="601">
        <v>0</v>
      </c>
      <c r="M34" s="601">
        <v>0</v>
      </c>
      <c r="N34" s="602">
        <f>SUM(B34:M34)</f>
        <v>122588.13</v>
      </c>
      <c r="O34" s="603">
        <f>63741+N34</f>
        <v>186329.13</v>
      </c>
      <c r="P34" s="602">
        <v>500000</v>
      </c>
      <c r="Q34" s="602">
        <v>0</v>
      </c>
      <c r="R34" s="537">
        <f t="shared" si="9"/>
        <v>0.37265826000000002</v>
      </c>
      <c r="S34" s="563"/>
      <c r="T34" s="564"/>
      <c r="U34" s="564"/>
      <c r="V34" s="565"/>
    </row>
    <row r="35" spans="1:22" ht="14.5">
      <c r="A35" s="313" t="s">
        <v>345</v>
      </c>
      <c r="B35" s="601">
        <v>1681</v>
      </c>
      <c r="C35" s="601">
        <v>1873</v>
      </c>
      <c r="D35" s="601">
        <f>6233-C35-B35</f>
        <v>2679</v>
      </c>
      <c r="E35" s="601">
        <v>2442</v>
      </c>
      <c r="F35" s="601">
        <v>2098</v>
      </c>
      <c r="G35" s="601">
        <f>776.91-1</f>
        <v>775.91</v>
      </c>
      <c r="H35" s="601">
        <v>-1986.6699999999996</v>
      </c>
      <c r="I35" s="601">
        <v>0</v>
      </c>
      <c r="J35" s="601">
        <v>0</v>
      </c>
      <c r="K35" s="601">
        <v>0</v>
      </c>
      <c r="L35" s="601">
        <v>0</v>
      </c>
      <c r="M35" s="601">
        <v>0</v>
      </c>
      <c r="N35" s="602">
        <f>SUM(B35:M35)</f>
        <v>9562.24</v>
      </c>
      <c r="O35" s="603">
        <f>615021+N35</f>
        <v>624583.24</v>
      </c>
      <c r="P35" s="604">
        <v>2148000</v>
      </c>
      <c r="Q35" s="602">
        <v>0</v>
      </c>
      <c r="R35" s="537">
        <f t="shared" si="9"/>
        <v>0.29077432029795158</v>
      </c>
      <c r="S35" s="563"/>
      <c r="T35" s="564"/>
      <c r="U35" s="564"/>
      <c r="V35" s="565"/>
    </row>
    <row r="36" spans="1:22">
      <c r="A36" s="314" t="s">
        <v>166</v>
      </c>
      <c r="B36" s="605">
        <v>0</v>
      </c>
      <c r="C36" s="605">
        <v>0</v>
      </c>
      <c r="D36" s="605">
        <v>0</v>
      </c>
      <c r="E36" s="605">
        <v>0</v>
      </c>
      <c r="F36" s="605">
        <v>0</v>
      </c>
      <c r="G36" s="605">
        <v>0</v>
      </c>
      <c r="H36" s="605">
        <v>0</v>
      </c>
      <c r="I36" s="605">
        <v>0</v>
      </c>
      <c r="J36" s="605">
        <v>0</v>
      </c>
      <c r="K36" s="605">
        <v>0</v>
      </c>
      <c r="L36" s="605">
        <v>0</v>
      </c>
      <c r="M36" s="605">
        <v>0</v>
      </c>
      <c r="N36" s="602">
        <f>SUM(B36:M36)</f>
        <v>0</v>
      </c>
      <c r="O36" s="603">
        <f>36789+N36</f>
        <v>36789</v>
      </c>
      <c r="P36" s="602">
        <v>340000</v>
      </c>
      <c r="Q36" s="602">
        <v>0</v>
      </c>
      <c r="R36" s="537">
        <f t="shared" si="9"/>
        <v>0.10820294117647059</v>
      </c>
      <c r="S36" s="563"/>
      <c r="T36" s="564"/>
      <c r="U36" s="564"/>
      <c r="V36" s="565"/>
    </row>
    <row r="37" spans="1:22" ht="13">
      <c r="A37" s="301" t="s">
        <v>262</v>
      </c>
      <c r="B37" s="605">
        <f t="shared" ref="B37:Q37" si="10">SUM(B33:B36)</f>
        <v>113025</v>
      </c>
      <c r="C37" s="606">
        <f t="shared" si="10"/>
        <v>3371</v>
      </c>
      <c r="D37" s="606">
        <f t="shared" si="10"/>
        <v>4822</v>
      </c>
      <c r="E37" s="606">
        <f t="shared" si="10"/>
        <v>4396</v>
      </c>
      <c r="F37" s="606">
        <f t="shared" si="10"/>
        <v>3776</v>
      </c>
      <c r="G37" s="606">
        <f t="shared" si="10"/>
        <v>1397.44</v>
      </c>
      <c r="H37" s="606">
        <f t="shared" si="10"/>
        <v>1362.9300000000003</v>
      </c>
      <c r="I37" s="606">
        <f t="shared" si="10"/>
        <v>0</v>
      </c>
      <c r="J37" s="606">
        <f t="shared" si="10"/>
        <v>0</v>
      </c>
      <c r="K37" s="606">
        <f t="shared" si="10"/>
        <v>0</v>
      </c>
      <c r="L37" s="606">
        <f t="shared" si="10"/>
        <v>0</v>
      </c>
      <c r="M37" s="606">
        <f t="shared" si="10"/>
        <v>0</v>
      </c>
      <c r="N37" s="610">
        <f>SUM(N33:N36)</f>
        <v>132150.37</v>
      </c>
      <c r="O37" s="615">
        <f>SUM(O33:O36)</f>
        <v>855813.03</v>
      </c>
      <c r="P37" s="609">
        <f t="shared" si="10"/>
        <v>5495000</v>
      </c>
      <c r="Q37" s="610">
        <f t="shared" si="10"/>
        <v>0</v>
      </c>
      <c r="R37" s="539">
        <f>O37/P37</f>
        <v>0.15574395450409464</v>
      </c>
      <c r="S37" s="563"/>
      <c r="T37" s="564"/>
      <c r="U37" s="564"/>
      <c r="V37" s="565"/>
    </row>
    <row r="38" spans="1:22">
      <c r="A38" s="299"/>
      <c r="B38" s="601"/>
      <c r="C38" s="611"/>
      <c r="D38" s="611"/>
      <c r="E38" s="611"/>
      <c r="F38" s="612"/>
      <c r="G38" s="611"/>
      <c r="H38" s="612"/>
      <c r="I38" s="612"/>
      <c r="J38" s="612"/>
      <c r="K38" s="612"/>
      <c r="L38" s="612"/>
      <c r="M38" s="612"/>
      <c r="N38" s="602"/>
      <c r="O38" s="613"/>
      <c r="P38" s="604"/>
      <c r="Q38" s="602"/>
      <c r="R38" s="537"/>
      <c r="S38" s="563"/>
      <c r="T38" s="564"/>
      <c r="U38" s="564"/>
      <c r="V38" s="565"/>
    </row>
    <row r="39" spans="1:22" ht="13">
      <c r="A39" s="298" t="s">
        <v>167</v>
      </c>
      <c r="B39" s="601"/>
      <c r="C39" s="611"/>
      <c r="D39" s="611"/>
      <c r="E39" s="611"/>
      <c r="F39" s="612"/>
      <c r="G39" s="611"/>
      <c r="H39" s="612"/>
      <c r="I39" s="612"/>
      <c r="J39" s="612"/>
      <c r="K39" s="612"/>
      <c r="L39" s="612"/>
      <c r="M39" s="612"/>
      <c r="N39" s="602"/>
      <c r="O39" s="613"/>
      <c r="P39" s="604"/>
      <c r="Q39" s="602"/>
      <c r="R39" s="537"/>
      <c r="S39" s="563"/>
      <c r="T39" s="564"/>
      <c r="U39" s="564"/>
      <c r="V39" s="565"/>
    </row>
    <row r="40" spans="1:22">
      <c r="A40" s="299" t="s">
        <v>261</v>
      </c>
      <c r="B40" s="618">
        <v>2750</v>
      </c>
      <c r="C40" s="618">
        <v>0</v>
      </c>
      <c r="D40" s="618">
        <v>40412</v>
      </c>
      <c r="E40" s="618">
        <v>1641</v>
      </c>
      <c r="F40" s="618">
        <v>43449</v>
      </c>
      <c r="G40" s="618">
        <v>130793</v>
      </c>
      <c r="H40" s="618">
        <v>27632.190000000002</v>
      </c>
      <c r="I40" s="618">
        <v>0</v>
      </c>
      <c r="J40" s="618">
        <v>0</v>
      </c>
      <c r="K40" s="618">
        <v>0</v>
      </c>
      <c r="L40" s="618">
        <v>0</v>
      </c>
      <c r="M40" s="618">
        <v>0</v>
      </c>
      <c r="N40" s="602">
        <f>SUM(B40:M40)</f>
        <v>246677.19</v>
      </c>
      <c r="O40" s="603">
        <f>2744778+N40</f>
        <v>2991455.19</v>
      </c>
      <c r="P40" s="604">
        <v>4502000</v>
      </c>
      <c r="Q40" s="602">
        <v>0</v>
      </c>
      <c r="R40" s="537">
        <f t="shared" ref="R40" si="11">+O40/P40</f>
        <v>0.66447249888938253</v>
      </c>
      <c r="S40" s="563"/>
      <c r="T40" s="564"/>
      <c r="U40" s="564"/>
      <c r="V40" s="565"/>
    </row>
    <row r="41" spans="1:22" ht="13">
      <c r="A41" s="301" t="s">
        <v>168</v>
      </c>
      <c r="B41" s="605">
        <f t="shared" ref="B41:N41" si="12">SUM(B40:B40)</f>
        <v>2750</v>
      </c>
      <c r="C41" s="606">
        <f t="shared" si="12"/>
        <v>0</v>
      </c>
      <c r="D41" s="606">
        <f t="shared" si="12"/>
        <v>40412</v>
      </c>
      <c r="E41" s="606">
        <f t="shared" si="12"/>
        <v>1641</v>
      </c>
      <c r="F41" s="617">
        <f t="shared" si="12"/>
        <v>43449</v>
      </c>
      <c r="G41" s="606">
        <f t="shared" si="12"/>
        <v>130793</v>
      </c>
      <c r="H41" s="617">
        <f t="shared" si="12"/>
        <v>27632.190000000002</v>
      </c>
      <c r="I41" s="617">
        <f t="shared" si="12"/>
        <v>0</v>
      </c>
      <c r="J41" s="617">
        <f t="shared" si="12"/>
        <v>0</v>
      </c>
      <c r="K41" s="617">
        <f t="shared" si="12"/>
        <v>0</v>
      </c>
      <c r="L41" s="617">
        <f t="shared" si="12"/>
        <v>0</v>
      </c>
      <c r="M41" s="617">
        <f t="shared" si="12"/>
        <v>0</v>
      </c>
      <c r="N41" s="610">
        <f t="shared" si="12"/>
        <v>246677.19</v>
      </c>
      <c r="O41" s="615">
        <f>O40</f>
        <v>2991455.19</v>
      </c>
      <c r="P41" s="609">
        <f>SUM(P40)</f>
        <v>4502000</v>
      </c>
      <c r="Q41" s="610">
        <f>SUM(Q40:Q40)</f>
        <v>0</v>
      </c>
      <c r="R41" s="539">
        <f>O41/P41</f>
        <v>0.66447249888938253</v>
      </c>
      <c r="S41" s="563"/>
      <c r="T41" s="564"/>
      <c r="U41" s="564"/>
      <c r="V41" s="565"/>
    </row>
    <row r="42" spans="1:22" ht="13">
      <c r="A42" s="298"/>
      <c r="B42" s="601"/>
      <c r="C42" s="611"/>
      <c r="D42" s="611"/>
      <c r="E42" s="611"/>
      <c r="F42" s="612"/>
      <c r="G42" s="611"/>
      <c r="H42" s="612"/>
      <c r="I42" s="612"/>
      <c r="J42" s="612"/>
      <c r="K42" s="612"/>
      <c r="L42" s="612"/>
      <c r="M42" s="612"/>
      <c r="N42" s="602"/>
      <c r="O42" s="619"/>
      <c r="P42" s="620"/>
      <c r="Q42" s="602"/>
      <c r="R42" s="537"/>
      <c r="S42" s="563"/>
      <c r="T42" s="564"/>
      <c r="U42" s="564"/>
      <c r="V42" s="565"/>
    </row>
    <row r="43" spans="1:22" ht="13">
      <c r="A43" s="298" t="s">
        <v>169</v>
      </c>
      <c r="B43" s="601"/>
      <c r="C43" s="611"/>
      <c r="D43" s="611"/>
      <c r="E43" s="611"/>
      <c r="F43" s="612"/>
      <c r="G43" s="611"/>
      <c r="H43" s="612"/>
      <c r="I43" s="612"/>
      <c r="J43" s="612"/>
      <c r="K43" s="612"/>
      <c r="L43" s="612"/>
      <c r="M43" s="612"/>
      <c r="N43" s="602"/>
      <c r="O43" s="619"/>
      <c r="P43" s="604"/>
      <c r="Q43" s="602"/>
      <c r="R43" s="537"/>
      <c r="S43" s="563"/>
      <c r="T43" s="564"/>
      <c r="U43" s="564"/>
      <c r="V43" s="565"/>
    </row>
    <row r="44" spans="1:22" ht="14.5">
      <c r="A44" s="299" t="s">
        <v>260</v>
      </c>
      <c r="B44" s="601">
        <v>37208</v>
      </c>
      <c r="C44" s="601">
        <v>42548</v>
      </c>
      <c r="D44" s="601">
        <f>137335-C44-B44</f>
        <v>57579</v>
      </c>
      <c r="E44" s="601">
        <f>188884-SUM(B44:D44)</f>
        <v>51549</v>
      </c>
      <c r="F44" s="601">
        <v>49262</v>
      </c>
      <c r="G44" s="601">
        <v>42520.360000000015</v>
      </c>
      <c r="H44" s="601">
        <v>37597.159999999996</v>
      </c>
      <c r="I44" s="601">
        <v>0</v>
      </c>
      <c r="J44" s="601">
        <v>0</v>
      </c>
      <c r="K44" s="601">
        <v>0</v>
      </c>
      <c r="L44" s="601">
        <v>0</v>
      </c>
      <c r="M44" s="601">
        <v>0</v>
      </c>
      <c r="N44" s="602">
        <f>SUM(B44:M44)</f>
        <v>318263.51999999996</v>
      </c>
      <c r="O44" s="603">
        <f>1537662+N44</f>
        <v>1855925.52</v>
      </c>
      <c r="P44" s="621">
        <f>4095000-166000</f>
        <v>3929000</v>
      </c>
      <c r="Q44" s="602">
        <v>-166000</v>
      </c>
      <c r="R44" s="537">
        <f t="shared" ref="R44:R47" si="13">+O44/P44</f>
        <v>0.47236587426826165</v>
      </c>
      <c r="S44" s="563"/>
      <c r="T44" s="564"/>
      <c r="U44" s="564"/>
      <c r="V44" s="565"/>
    </row>
    <row r="45" spans="1:22" s="197" customFormat="1" ht="14.5">
      <c r="A45" s="300" t="s">
        <v>259</v>
      </c>
      <c r="B45" s="601">
        <v>120524</v>
      </c>
      <c r="C45" s="601">
        <v>107796</v>
      </c>
      <c r="D45" s="601">
        <f>380534-C45-B45</f>
        <v>152214</v>
      </c>
      <c r="E45" s="601">
        <f>530558-SUM(B45:D45)</f>
        <v>150024</v>
      </c>
      <c r="F45" s="601">
        <v>74804</v>
      </c>
      <c r="G45" s="601">
        <v>506283.61000000004</v>
      </c>
      <c r="H45" s="601">
        <v>38850.829999999994</v>
      </c>
      <c r="I45" s="601">
        <v>0</v>
      </c>
      <c r="J45" s="601">
        <v>0</v>
      </c>
      <c r="K45" s="601">
        <v>0</v>
      </c>
      <c r="L45" s="601">
        <v>0</v>
      </c>
      <c r="M45" s="601">
        <v>0</v>
      </c>
      <c r="N45" s="604">
        <f>SUM(B45:M45)</f>
        <v>1150496.4400000002</v>
      </c>
      <c r="O45" s="603">
        <f>5262171+N45</f>
        <v>6412667.4400000004</v>
      </c>
      <c r="P45" s="621">
        <f>7948000+566000</f>
        <v>8514000</v>
      </c>
      <c r="Q45" s="604">
        <v>566000</v>
      </c>
      <c r="R45" s="541">
        <f t="shared" si="13"/>
        <v>0.75319091378905334</v>
      </c>
      <c r="S45" s="563"/>
      <c r="T45" s="564"/>
      <c r="U45" s="564"/>
      <c r="V45" s="565"/>
    </row>
    <row r="46" spans="1:22">
      <c r="A46" s="299" t="s">
        <v>239</v>
      </c>
      <c r="B46" s="601">
        <v>23262</v>
      </c>
      <c r="C46" s="601">
        <v>81327</v>
      </c>
      <c r="D46" s="601">
        <f>174323-C46-B46</f>
        <v>69734</v>
      </c>
      <c r="E46" s="601">
        <f>223736-SUM(B46:D46)</f>
        <v>49413</v>
      </c>
      <c r="F46" s="601">
        <v>35721</v>
      </c>
      <c r="G46" s="601">
        <v>33500.620000000003</v>
      </c>
      <c r="H46" s="601">
        <v>87598.66</v>
      </c>
      <c r="I46" s="601">
        <v>0</v>
      </c>
      <c r="J46" s="601">
        <v>0</v>
      </c>
      <c r="K46" s="601">
        <v>0</v>
      </c>
      <c r="L46" s="601">
        <v>0</v>
      </c>
      <c r="M46" s="601">
        <v>0</v>
      </c>
      <c r="N46" s="602">
        <f>SUM(B46:M46)</f>
        <v>380556.28</v>
      </c>
      <c r="O46" s="603">
        <f>2125875+N46</f>
        <v>2506431.2800000003</v>
      </c>
      <c r="P46" s="622">
        <f>5600600-400000</f>
        <v>5200600</v>
      </c>
      <c r="Q46" s="602">
        <v>-400000</v>
      </c>
      <c r="R46" s="537">
        <f t="shared" si="13"/>
        <v>0.48195040572241671</v>
      </c>
      <c r="S46" s="563"/>
      <c r="T46" s="564"/>
      <c r="U46" s="564"/>
      <c r="V46" s="565"/>
    </row>
    <row r="47" spans="1:22">
      <c r="A47" s="299" t="s">
        <v>171</v>
      </c>
      <c r="B47" s="601">
        <v>3379</v>
      </c>
      <c r="C47" s="601">
        <v>24799</v>
      </c>
      <c r="D47" s="601">
        <v>0</v>
      </c>
      <c r="E47" s="629">
        <f>28178-SUM(B47:D47)</f>
        <v>0</v>
      </c>
      <c r="F47" s="601">
        <v>0</v>
      </c>
      <c r="G47" s="601">
        <v>103866.39</v>
      </c>
      <c r="H47" s="601">
        <v>0</v>
      </c>
      <c r="I47" s="601">
        <v>0</v>
      </c>
      <c r="J47" s="601">
        <v>0</v>
      </c>
      <c r="K47" s="601">
        <v>0</v>
      </c>
      <c r="L47" s="601">
        <v>0</v>
      </c>
      <c r="M47" s="601">
        <v>0</v>
      </c>
      <c r="N47" s="602">
        <f>SUM(B47:M47)</f>
        <v>132044.39000000001</v>
      </c>
      <c r="O47" s="603">
        <f>239456+N47</f>
        <v>371500.39</v>
      </c>
      <c r="P47" s="623">
        <v>1000000</v>
      </c>
      <c r="Q47" s="602">
        <v>0</v>
      </c>
      <c r="R47" s="537">
        <f t="shared" si="13"/>
        <v>0.37150039000000001</v>
      </c>
      <c r="S47" s="563"/>
      <c r="T47" s="564"/>
      <c r="U47" s="564"/>
      <c r="V47" s="565"/>
    </row>
    <row r="48" spans="1:22" ht="13">
      <c r="A48" s="301" t="s">
        <v>172</v>
      </c>
      <c r="B48" s="607">
        <f>SUM(B44:B47)</f>
        <v>184373</v>
      </c>
      <c r="C48" s="614">
        <f t="shared" ref="C48:M48" si="14">SUM(C44:C47)</f>
        <v>256470</v>
      </c>
      <c r="D48" s="614">
        <f t="shared" si="14"/>
        <v>279527</v>
      </c>
      <c r="E48" s="614">
        <f t="shared" si="14"/>
        <v>250986</v>
      </c>
      <c r="F48" s="614">
        <f t="shared" si="14"/>
        <v>159787</v>
      </c>
      <c r="G48" s="614">
        <f>SUM(G44:G47)</f>
        <v>686170.9800000001</v>
      </c>
      <c r="H48" s="614">
        <f t="shared" si="14"/>
        <v>164046.65</v>
      </c>
      <c r="I48" s="614">
        <f t="shared" si="14"/>
        <v>0</v>
      </c>
      <c r="J48" s="614">
        <f t="shared" si="14"/>
        <v>0</v>
      </c>
      <c r="K48" s="614">
        <f t="shared" si="14"/>
        <v>0</v>
      </c>
      <c r="L48" s="614">
        <f t="shared" si="14"/>
        <v>0</v>
      </c>
      <c r="M48" s="614">
        <f t="shared" si="14"/>
        <v>0</v>
      </c>
      <c r="N48" s="610">
        <f>N47+N46+N45+N44</f>
        <v>1981360.6300000004</v>
      </c>
      <c r="O48" s="615">
        <f>SUM(O44:O47)</f>
        <v>11146524.630000003</v>
      </c>
      <c r="P48" s="609">
        <f>SUM(P44:P47)</f>
        <v>18643600</v>
      </c>
      <c r="Q48" s="610">
        <f>SUM(Q44:Q47)</f>
        <v>0</v>
      </c>
      <c r="R48" s="539">
        <f>O48/P48</f>
        <v>0.59787404953978862</v>
      </c>
      <c r="S48" s="563"/>
      <c r="T48" s="564"/>
      <c r="U48" s="564"/>
      <c r="V48" s="564"/>
    </row>
    <row r="49" spans="1:22" ht="13">
      <c r="A49" s="298"/>
      <c r="B49" s="601"/>
      <c r="C49" s="611"/>
      <c r="D49" s="611"/>
      <c r="E49" s="611"/>
      <c r="F49" s="612"/>
      <c r="G49" s="611"/>
      <c r="H49" s="612"/>
      <c r="I49" s="612"/>
      <c r="J49" s="612"/>
      <c r="K49" s="612"/>
      <c r="L49" s="612"/>
      <c r="M49" s="612"/>
      <c r="N49" s="602"/>
      <c r="O49" s="613"/>
      <c r="P49" s="604"/>
      <c r="Q49" s="602"/>
      <c r="R49" s="537"/>
      <c r="S49" s="563"/>
      <c r="T49" s="564"/>
      <c r="U49" s="564"/>
      <c r="V49" s="564"/>
    </row>
    <row r="50" spans="1:22" ht="15" customHeight="1">
      <c r="A50" s="304" t="s">
        <v>173</v>
      </c>
      <c r="B50" s="607">
        <f>B48+B41+B37+B30+B24+B20+B16</f>
        <v>661763</v>
      </c>
      <c r="C50" s="614">
        <f>C48+C41+C37+C30+C24+C20+C16</f>
        <v>453342</v>
      </c>
      <c r="D50" s="614">
        <f t="shared" ref="D50:M50" si="15">D48+D41+D37+D30+D24+D20+D16</f>
        <v>802978</v>
      </c>
      <c r="E50" s="614">
        <f t="shared" si="15"/>
        <v>450663</v>
      </c>
      <c r="F50" s="614">
        <f t="shared" si="15"/>
        <v>333352</v>
      </c>
      <c r="G50" s="614">
        <f t="shared" si="15"/>
        <v>1280366.6599999999</v>
      </c>
      <c r="H50" s="614">
        <f>H48+H41+H37+H30+H24+H20+H16</f>
        <v>361678.04000000004</v>
      </c>
      <c r="I50" s="614">
        <f t="shared" si="15"/>
        <v>0</v>
      </c>
      <c r="J50" s="614">
        <f t="shared" si="15"/>
        <v>0</v>
      </c>
      <c r="K50" s="614">
        <f t="shared" si="15"/>
        <v>0</v>
      </c>
      <c r="L50" s="614">
        <f t="shared" si="15"/>
        <v>0</v>
      </c>
      <c r="M50" s="614">
        <f t="shared" si="15"/>
        <v>0</v>
      </c>
      <c r="N50" s="610">
        <f>N48+N41+N37+N30+N24+N20+N16</f>
        <v>4344142.7</v>
      </c>
      <c r="O50" s="615">
        <f>O48+O41+O37+O30+O24+O20+O16</f>
        <v>31253735.359999999</v>
      </c>
      <c r="P50" s="624">
        <f>P48+P41+P37+P30+P24+P20+P16</f>
        <v>82380102</v>
      </c>
      <c r="Q50" s="624">
        <f>Q16+Q30+Q48</f>
        <v>0</v>
      </c>
      <c r="R50" s="539">
        <f>O50/P50</f>
        <v>0.37938451884898128</v>
      </c>
      <c r="S50" s="563"/>
      <c r="T50" s="564"/>
      <c r="U50" s="564"/>
      <c r="V50" s="565"/>
    </row>
    <row r="51" spans="1:22" ht="15" customHeight="1">
      <c r="A51" s="305"/>
      <c r="B51" s="485"/>
      <c r="C51" s="484"/>
      <c r="D51" s="484"/>
      <c r="E51" s="484"/>
      <c r="F51" s="484"/>
      <c r="G51" s="486"/>
      <c r="H51" s="484"/>
      <c r="I51" s="484"/>
      <c r="J51" s="484"/>
      <c r="K51" s="484"/>
      <c r="L51" s="484"/>
      <c r="M51" s="484"/>
      <c r="N51" s="484"/>
      <c r="O51" s="522"/>
      <c r="P51" s="484" t="s">
        <v>56</v>
      </c>
      <c r="Q51" s="484"/>
      <c r="R51" s="535"/>
      <c r="S51" s="563"/>
      <c r="T51" s="564"/>
      <c r="U51" s="564"/>
      <c r="V51" s="564"/>
    </row>
    <row r="52" spans="1:22" ht="10.5" customHeight="1" thickBot="1">
      <c r="A52" s="202"/>
      <c r="B52" s="200"/>
      <c r="C52" s="140"/>
      <c r="D52" s="140"/>
      <c r="E52" s="140"/>
      <c r="F52" s="140"/>
      <c r="G52" s="140"/>
      <c r="H52" s="140"/>
      <c r="I52" s="140"/>
      <c r="J52" s="140"/>
      <c r="K52" s="140"/>
      <c r="L52" s="140"/>
      <c r="M52" s="140"/>
      <c r="N52" s="140"/>
      <c r="O52" s="523"/>
      <c r="P52" s="141"/>
      <c r="Q52" s="141"/>
      <c r="R52" s="292"/>
    </row>
    <row r="53" spans="1:22">
      <c r="A53" s="197"/>
      <c r="G53" s="249"/>
      <c r="P53" s="249" t="s">
        <v>56</v>
      </c>
    </row>
    <row r="54" spans="1:22" ht="14">
      <c r="A54" s="262" t="s">
        <v>63</v>
      </c>
      <c r="B54" s="197"/>
      <c r="N54" s="336"/>
      <c r="P54" s="130" t="s">
        <v>56</v>
      </c>
    </row>
    <row r="55" spans="1:22" s="562" customFormat="1" ht="16">
      <c r="A55" s="312" t="s">
        <v>304</v>
      </c>
      <c r="O55" s="625"/>
    </row>
    <row r="56" spans="1:22" s="562" customFormat="1" ht="16.5">
      <c r="A56" s="312" t="s">
        <v>305</v>
      </c>
      <c r="O56" s="625"/>
    </row>
    <row r="57" spans="1:22" ht="16.5">
      <c r="A57" s="312" t="s">
        <v>306</v>
      </c>
    </row>
    <row r="58" spans="1:22" ht="16.5">
      <c r="A58" s="312" t="s">
        <v>359</v>
      </c>
    </row>
    <row r="59" spans="1:22" ht="16.5">
      <c r="A59" s="312" t="s">
        <v>358</v>
      </c>
    </row>
    <row r="60" spans="1:22" ht="14">
      <c r="A60" s="235" t="s">
        <v>64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7RCVYNPDDY4V-1526832976-120</_dlc_DocId>
    <_dlc_DocIdUrl xmlns="9bf079a2-8838-46e4-a25e-754293e27338">
      <Url>https://sempra.sharepoint.com/teams/sdgecp/po/drps/_layouts/15/DocIdRedir.aspx?ID=7RCVYNPDDY4V-1526832976-120</Url>
      <Description>7RCVYNPDDY4V-1526832976-120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2.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CE5A5-034A-44C5-96B1-1FD952A1C468}">
  <ds:schemaRefs>
    <ds:schemaRef ds:uri="http://schemas.microsoft.com/office/infopath/2007/PartnerControls"/>
    <ds:schemaRef ds:uri="http://purl.org/dc/terms/"/>
    <ds:schemaRef ds:uri="http://schemas.microsoft.com/office/2006/documentManagement/types"/>
    <ds:schemaRef ds:uri="9bf079a2-8838-46e4-a25e-754293e27338"/>
    <ds:schemaRef ds:uri="http://schemas.openxmlformats.org/package/2006/metadata/core-properties"/>
    <ds:schemaRef ds:uri="http://purl.org/dc/elements/1.1/"/>
    <ds:schemaRef ds:uri="http://schemas.microsoft.com/office/2006/metadata/properties"/>
    <ds:schemaRef ds:uri="3186f035-0cdb-442a-b3b5-e1bf8686ba54"/>
    <ds:schemaRef ds:uri="http://www.w3.org/XML/1998/namespace"/>
    <ds:schemaRef ds:uri="http://purl.org/dc/dcmitype/"/>
  </ds:schemaRefs>
</ds:datastoreItem>
</file>

<file path=customXml/itemProps4.xml><?xml version="1.0" encoding="utf-8"?>
<ds:datastoreItem xmlns:ds="http://schemas.openxmlformats.org/officeDocument/2006/customXml" ds:itemID="{B9BCF475-1DB9-4419-A429-5743143F8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Business Unit Reporting</vt:lpstr>
      <vt:lpstr>Program MW </vt:lpstr>
      <vt:lpstr>Ex ante LI &amp; Eligibility Stats</vt:lpstr>
      <vt:lpstr>Ex post LI &amp; Eligibility Stats</vt:lpstr>
      <vt:lpstr>TA-TI Distribution@</vt:lpstr>
      <vt:lpstr>Event Summary</vt:lpstr>
      <vt:lpstr>Auto DR (TI) &amp; Tech Deployment</vt:lpstr>
      <vt:lpstr>Marketing</vt:lpstr>
      <vt:lpstr>DRP Expenditures</vt:lpstr>
      <vt:lpstr>Fund Shift Log</vt:lpstr>
      <vt:lpstr>SDGE Costs - AMDRMA Balance</vt:lpstr>
      <vt:lpstr>SDGE Costs -GRC </vt:lpstr>
      <vt:lpstr>SDGE Costs -DPDRMA</vt:lpstr>
      <vt:lpstr>SDGE Costs -ELRP</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-ELRP'!Print_Area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Pitsko, Kenneth C</cp:lastModifiedBy>
  <cp:revision/>
  <dcterms:created xsi:type="dcterms:W3CDTF">2013-01-03T17:03:43Z</dcterms:created>
  <dcterms:modified xsi:type="dcterms:W3CDTF">2021-08-20T01:08:08Z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701eb0b2-545b-40bc-b625-d237db0816f1</vt:lpwstr>
  </property>
  <property fmtid="{D5CDD505-2E9C-101B-9397-08002B2CF9AE}" pid="8" name="SharedWithUsers">
    <vt:lpwstr>212;#Valdivieso, Guillermo</vt:lpwstr>
  </property>
  <property fmtid="{D5CDD505-2E9C-101B-9397-08002B2CF9AE}" pid="9" name="CofWorkbookId">
    <vt:lpwstr>2b7e742a-4021-41b9-893e-ae973cce985b</vt:lpwstr>
  </property>
</Properties>
</file>