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COPIES OF WORK IN PROGRESS (AL, DATA REQUEST...)\"/>
    </mc:Choice>
  </mc:AlternateContent>
  <xr:revisionPtr revIDLastSave="0" documentId="8_{E599BC9D-7F65-43C3-9C1E-B3844D2CDC39}" xr6:coauthVersionLast="46" xr6:coauthVersionMax="46" xr10:uidLastSave="{00000000-0000-0000-0000-000000000000}"/>
  <bookViews>
    <workbookView xWindow="-120" yWindow="-120" windowWidth="29040" windowHeight="1584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Summary'!$A$8:$G$10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Deployment'!$A$1:$M$44</definedName>
    <definedName name="_xlnm.Print_Area" localSheetId="7">'DRP Expenditures'!$A$54:$M$54</definedName>
    <definedName name="_xlnm.Print_Area" localSheetId="2">'Ex ante LI &amp; Eligibility Stats'!$A$1:$O$19</definedName>
    <definedName name="_xlnm.Print_Area" localSheetId="3">'Ex post LI &amp; Eligibility Stats'!$A$1:$O$27</definedName>
    <definedName name="_xlnm.Print_Area" localSheetId="8">'Fund Shift Log'!$A$1:$E$23</definedName>
    <definedName name="_xlnm.Print_Area" localSheetId="6">Marketing!$A$1:$Q$40</definedName>
    <definedName name="_xlnm.Print_Area" localSheetId="1">'Program MW '!$A$1:$S$57</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Stats'!$A$2:$O$25</definedName>
    <definedName name="Z_E5DF83AA_DC53_4EBF_A523_33DA0FE284E8_.wvu.PrintArea" localSheetId="1" hidden="1">'Program MW '!$A$1:$Z$48</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6" i="117" l="1"/>
  <c r="E47" i="117"/>
  <c r="E46" i="117"/>
  <c r="E45" i="117"/>
  <c r="E44" i="117"/>
  <c r="D14" i="117"/>
  <c r="E34" i="117"/>
  <c r="E28" i="117"/>
  <c r="E29" i="117"/>
  <c r="E23" i="117"/>
  <c r="E13" i="117"/>
  <c r="E12" i="117"/>
  <c r="E11" i="117"/>
  <c r="E14" i="117"/>
  <c r="E37" i="129"/>
  <c r="E36" i="131"/>
  <c r="E39" i="131"/>
  <c r="E34" i="131"/>
  <c r="E23" i="131"/>
  <c r="E24" i="131"/>
  <c r="D16" i="129"/>
  <c r="D13" i="129"/>
  <c r="D26" i="119"/>
  <c r="D25" i="119"/>
  <c r="D24" i="119"/>
  <c r="D22" i="119"/>
  <c r="D19" i="119"/>
  <c r="D21" i="119"/>
  <c r="D43" i="119"/>
  <c r="D17" i="119"/>
  <c r="D16" i="119"/>
  <c r="D42" i="119"/>
  <c r="D15" i="119"/>
  <c r="D13" i="119"/>
  <c r="D11" i="119"/>
  <c r="D39" i="119"/>
  <c r="D38" i="119"/>
  <c r="D10" i="119"/>
  <c r="D37" i="119"/>
  <c r="D9" i="119"/>
  <c r="D46" i="117"/>
  <c r="D45" i="117"/>
  <c r="D44" i="117"/>
  <c r="D34" i="117"/>
  <c r="D35" i="117"/>
  <c r="D23" i="117"/>
  <c r="D13" i="117"/>
  <c r="D12" i="117"/>
  <c r="D36" i="131" l="1"/>
  <c r="D34" i="131"/>
  <c r="D23" i="131"/>
  <c r="C37" i="129" l="1"/>
  <c r="C36" i="131"/>
  <c r="C34" i="131"/>
  <c r="C38" i="131"/>
  <c r="C39" i="131"/>
  <c r="C24" i="131"/>
  <c r="C23" i="131"/>
  <c r="B17" i="29" l="1"/>
  <c r="F22" i="33" l="1"/>
  <c r="O22" i="134" l="1"/>
  <c r="O21" i="134" l="1"/>
  <c r="H33" i="129" l="1"/>
  <c r="O15" i="117"/>
  <c r="B37" i="129" l="1"/>
  <c r="Q23" i="134" l="1"/>
  <c r="Q11" i="134"/>
  <c r="B39" i="131" l="1"/>
  <c r="B36" i="131"/>
  <c r="B34" i="131"/>
  <c r="B24" i="131"/>
  <c r="B23" i="131"/>
  <c r="O19" i="35" l="1"/>
  <c r="N19" i="35"/>
  <c r="O18" i="35"/>
  <c r="N18" i="35"/>
  <c r="O17" i="35"/>
  <c r="N17" i="35"/>
  <c r="O16" i="35"/>
  <c r="N16" i="35"/>
  <c r="O15" i="35"/>
  <c r="N15" i="35"/>
  <c r="O14" i="35"/>
  <c r="N14" i="35"/>
  <c r="O13" i="35"/>
  <c r="N13" i="35"/>
  <c r="O12" i="35"/>
  <c r="N12" i="35"/>
  <c r="O11" i="35"/>
  <c r="N11" i="35"/>
  <c r="O10" i="35"/>
  <c r="N10" i="35"/>
  <c r="O9" i="35"/>
  <c r="N9" i="35"/>
  <c r="C34" i="119" l="1"/>
  <c r="D34" i="119"/>
  <c r="E34" i="119"/>
  <c r="F34" i="119"/>
  <c r="G34" i="119"/>
  <c r="H34" i="119"/>
  <c r="I34" i="119"/>
  <c r="J34" i="119"/>
  <c r="K34" i="119"/>
  <c r="L34" i="119"/>
  <c r="M34" i="119"/>
  <c r="M31" i="134" l="1"/>
  <c r="O36" i="33" l="1"/>
  <c r="C4" i="57" l="1"/>
  <c r="L13" i="131"/>
  <c r="K13" i="131" l="1"/>
  <c r="N12" i="134"/>
  <c r="O12" i="134" s="1"/>
  <c r="N13" i="134"/>
  <c r="N14" i="134"/>
  <c r="O14" i="134" s="1"/>
  <c r="N15" i="134"/>
  <c r="O15" i="134" s="1"/>
  <c r="N16" i="134"/>
  <c r="O16" i="134" s="1"/>
  <c r="N17" i="134"/>
  <c r="O17" i="134" s="1"/>
  <c r="N18" i="134"/>
  <c r="O18" i="134" s="1"/>
  <c r="N19" i="134"/>
  <c r="O19" i="134" s="1"/>
  <c r="N20" i="134"/>
  <c r="O20" i="134" s="1"/>
  <c r="N21" i="134"/>
  <c r="N22" i="134"/>
  <c r="N11" i="134"/>
  <c r="O11" i="134" s="1"/>
  <c r="N23" i="134" l="1"/>
  <c r="I40" i="33" l="1"/>
  <c r="J13" i="131" l="1"/>
  <c r="J38" i="134" l="1"/>
  <c r="N10" i="119" l="1"/>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1" i="119"/>
  <c r="N42" i="119"/>
  <c r="N43" i="119"/>
  <c r="N44" i="119"/>
  <c r="N45" i="119"/>
  <c r="N46" i="119"/>
  <c r="P46" i="117"/>
  <c r="P45" i="117"/>
  <c r="P44" i="117"/>
  <c r="L30" i="117"/>
  <c r="K30" i="117"/>
  <c r="J30" i="117"/>
  <c r="P48" i="117" l="1"/>
  <c r="N47" i="119"/>
  <c r="O13" i="134" l="1"/>
  <c r="O23" i="134" s="1"/>
  <c r="S44" i="33" l="1"/>
  <c r="R44" i="33"/>
  <c r="S43" i="33"/>
  <c r="R43" i="33"/>
  <c r="S42" i="33"/>
  <c r="R42" i="33"/>
  <c r="S41" i="33"/>
  <c r="R41" i="33"/>
  <c r="S40" i="33"/>
  <c r="R40" i="33"/>
  <c r="S39" i="33"/>
  <c r="R39" i="33"/>
  <c r="S38" i="33"/>
  <c r="R38" i="33"/>
  <c r="S37" i="33"/>
  <c r="R37" i="33"/>
  <c r="S36" i="33"/>
  <c r="R36" i="33"/>
  <c r="S34" i="33"/>
  <c r="R34" i="33"/>
  <c r="P44" i="33"/>
  <c r="O44" i="33"/>
  <c r="P43" i="33"/>
  <c r="O43" i="33"/>
  <c r="P42" i="33"/>
  <c r="O42" i="33"/>
  <c r="P41" i="33"/>
  <c r="O41" i="33"/>
  <c r="P40" i="33"/>
  <c r="O40" i="33"/>
  <c r="P39" i="33"/>
  <c r="O39" i="33"/>
  <c r="P38" i="33"/>
  <c r="O38" i="33"/>
  <c r="P37" i="33"/>
  <c r="O37" i="33"/>
  <c r="P36" i="33"/>
  <c r="L25" i="131" s="1"/>
  <c r="P34" i="33"/>
  <c r="O34" i="33"/>
  <c r="M44" i="33"/>
  <c r="L44" i="33"/>
  <c r="M43" i="33"/>
  <c r="L43" i="33"/>
  <c r="M42" i="33"/>
  <c r="L42" i="33"/>
  <c r="M41" i="33"/>
  <c r="L41" i="33"/>
  <c r="M40" i="33"/>
  <c r="L40" i="33"/>
  <c r="M39" i="33"/>
  <c r="L39" i="33"/>
  <c r="M38" i="33"/>
  <c r="L38" i="33"/>
  <c r="M37" i="33"/>
  <c r="L37" i="33"/>
  <c r="M36" i="33"/>
  <c r="K25" i="131" s="1"/>
  <c r="L36" i="33"/>
  <c r="M34" i="33"/>
  <c r="L34" i="33"/>
  <c r="J44" i="33"/>
  <c r="I44" i="33"/>
  <c r="J43" i="33"/>
  <c r="I43" i="33"/>
  <c r="J42" i="33"/>
  <c r="I42" i="33"/>
  <c r="J41" i="33"/>
  <c r="I41" i="33"/>
  <c r="J40" i="33"/>
  <c r="J39" i="33"/>
  <c r="J40" i="131" s="1"/>
  <c r="I39" i="33"/>
  <c r="J38" i="33"/>
  <c r="I38" i="33"/>
  <c r="J37" i="33"/>
  <c r="I37" i="33"/>
  <c r="J36" i="33"/>
  <c r="J25" i="131" s="1"/>
  <c r="I36" i="33"/>
  <c r="J34" i="33"/>
  <c r="I34" i="33"/>
  <c r="S31" i="33"/>
  <c r="R31" i="33"/>
  <c r="P31" i="33"/>
  <c r="O31" i="33"/>
  <c r="M31" i="33"/>
  <c r="L31" i="33"/>
  <c r="J31" i="33"/>
  <c r="I31" i="33"/>
  <c r="F31" i="33"/>
  <c r="C31" i="33"/>
  <c r="G31" i="33"/>
  <c r="L40" i="131" l="1"/>
  <c r="K40" i="131"/>
  <c r="G44" i="33"/>
  <c r="F44" i="33"/>
  <c r="G43" i="33"/>
  <c r="F43" i="33"/>
  <c r="G42" i="33"/>
  <c r="F42" i="33"/>
  <c r="G41" i="33"/>
  <c r="F41" i="33"/>
  <c r="G40" i="33"/>
  <c r="F40" i="33"/>
  <c r="G39" i="33"/>
  <c r="F39" i="33"/>
  <c r="G38" i="33"/>
  <c r="F38" i="33"/>
  <c r="G37" i="33"/>
  <c r="F37" i="33"/>
  <c r="G36" i="33"/>
  <c r="I25" i="131" s="1"/>
  <c r="F36" i="33"/>
  <c r="G34" i="33"/>
  <c r="F34" i="33"/>
  <c r="D36" i="33"/>
  <c r="D37" i="33"/>
  <c r="D38" i="33"/>
  <c r="D39" i="33"/>
  <c r="D40" i="33"/>
  <c r="D41" i="33"/>
  <c r="D42" i="33"/>
  <c r="D43" i="33"/>
  <c r="D44" i="33"/>
  <c r="C36" i="33"/>
  <c r="C37" i="33"/>
  <c r="C38" i="33"/>
  <c r="C39" i="33"/>
  <c r="C40" i="33"/>
  <c r="C41" i="33"/>
  <c r="C42" i="33"/>
  <c r="C43" i="33"/>
  <c r="C44" i="33"/>
  <c r="D34" i="33"/>
  <c r="C34" i="33"/>
  <c r="D31" i="33"/>
  <c r="S45" i="33" l="1"/>
  <c r="R45" i="33"/>
  <c r="S32" i="33"/>
  <c r="R32" i="33"/>
  <c r="P45" i="33"/>
  <c r="O45" i="33"/>
  <c r="P32" i="33"/>
  <c r="O32" i="33"/>
  <c r="L45" i="33"/>
  <c r="M32" i="33"/>
  <c r="L32" i="33"/>
  <c r="J45" i="33"/>
  <c r="J32" i="33"/>
  <c r="I32" i="33"/>
  <c r="F45" i="33"/>
  <c r="G32" i="33"/>
  <c r="F32" i="33"/>
  <c r="D45" i="33"/>
  <c r="D32" i="33"/>
  <c r="C32" i="33"/>
  <c r="R46" i="33" l="1"/>
  <c r="S46" i="33"/>
  <c r="O46" i="33"/>
  <c r="G45" i="33"/>
  <c r="G46" i="33" s="1"/>
  <c r="M45" i="33"/>
  <c r="M46" i="33" s="1"/>
  <c r="C45" i="33"/>
  <c r="C46" i="33" s="1"/>
  <c r="I45" i="33"/>
  <c r="I46" i="33" s="1"/>
  <c r="P46" i="33"/>
  <c r="L46" i="33"/>
  <c r="J46" i="33"/>
  <c r="F46" i="33"/>
  <c r="D46" i="33"/>
  <c r="N13" i="129" l="1"/>
  <c r="N14" i="129"/>
  <c r="N15" i="129"/>
  <c r="N16" i="129"/>
  <c r="S22" i="33" l="1"/>
  <c r="R22" i="33"/>
  <c r="S21" i="33"/>
  <c r="R21" i="33"/>
  <c r="S20" i="33"/>
  <c r="R20" i="33"/>
  <c r="S19" i="33"/>
  <c r="R19" i="33"/>
  <c r="S18" i="33"/>
  <c r="R18" i="33"/>
  <c r="S17" i="33"/>
  <c r="R17" i="33"/>
  <c r="S16" i="33"/>
  <c r="R16" i="33"/>
  <c r="S15" i="33"/>
  <c r="R15" i="33"/>
  <c r="S14" i="33"/>
  <c r="R14" i="33"/>
  <c r="S12" i="33"/>
  <c r="R12" i="33"/>
  <c r="S9" i="33"/>
  <c r="S10" i="33" s="1"/>
  <c r="R9" i="33"/>
  <c r="R10" i="33" s="1"/>
  <c r="G23" i="134" l="1"/>
  <c r="N15" i="117" l="1"/>
  <c r="N14" i="117"/>
  <c r="O14" i="117" s="1"/>
  <c r="N13" i="117"/>
  <c r="O13" i="117" s="1"/>
  <c r="N12" i="117"/>
  <c r="O12" i="117" s="1"/>
  <c r="D24" i="131" l="1"/>
  <c r="P9" i="33" l="1"/>
  <c r="O9" i="33"/>
  <c r="P22" i="33" l="1"/>
  <c r="O22" i="33"/>
  <c r="P21" i="33"/>
  <c r="O21" i="33"/>
  <c r="P20" i="33"/>
  <c r="O20" i="33"/>
  <c r="P19" i="33"/>
  <c r="O19" i="33"/>
  <c r="P18" i="33"/>
  <c r="O18" i="33"/>
  <c r="P17" i="33"/>
  <c r="O17" i="33"/>
  <c r="P16" i="33"/>
  <c r="O16" i="33"/>
  <c r="P15" i="33"/>
  <c r="F40" i="131" s="1"/>
  <c r="O15" i="33"/>
  <c r="P14" i="33"/>
  <c r="F25" i="131" s="1"/>
  <c r="O14" i="33"/>
  <c r="P12" i="33"/>
  <c r="O12" i="33"/>
  <c r="N23" i="33" l="1"/>
  <c r="F23" i="134" l="1"/>
  <c r="M40" i="131" l="1"/>
  <c r="I40" i="131"/>
  <c r="H40" i="131"/>
  <c r="G40" i="131"/>
  <c r="P10" i="33"/>
  <c r="M22" i="33" l="1"/>
  <c r="L22" i="33"/>
  <c r="M21" i="33"/>
  <c r="L21" i="33"/>
  <c r="M20" i="33"/>
  <c r="L20" i="33"/>
  <c r="M19" i="33"/>
  <c r="L19" i="33"/>
  <c r="M18" i="33"/>
  <c r="L18" i="33"/>
  <c r="M17" i="33"/>
  <c r="L17" i="33"/>
  <c r="M16" i="33"/>
  <c r="L16" i="33"/>
  <c r="M15" i="33"/>
  <c r="E33" i="131" s="1"/>
  <c r="L15" i="33"/>
  <c r="M14" i="33"/>
  <c r="E22" i="131" s="1"/>
  <c r="E25" i="131" s="1"/>
  <c r="L14" i="33"/>
  <c r="M12" i="33"/>
  <c r="L12" i="33"/>
  <c r="M9" i="33"/>
  <c r="M10" i="33" s="1"/>
  <c r="L9" i="33"/>
  <c r="L10" i="33" s="1"/>
  <c r="M23" i="33" l="1"/>
  <c r="M24" i="33" s="1"/>
  <c r="L23" i="33"/>
  <c r="L24" i="33" s="1"/>
  <c r="D39" i="131" l="1"/>
  <c r="J22" i="33" l="1"/>
  <c r="J21" i="33"/>
  <c r="J20" i="33"/>
  <c r="J19" i="33"/>
  <c r="J18" i="33"/>
  <c r="J17" i="33"/>
  <c r="J16" i="33"/>
  <c r="J15" i="33"/>
  <c r="D33" i="131" s="1"/>
  <c r="J14" i="33"/>
  <c r="D22" i="131" s="1"/>
  <c r="D25" i="131" s="1"/>
  <c r="J12" i="33"/>
  <c r="J9" i="33"/>
  <c r="I22" i="33"/>
  <c r="I21" i="33"/>
  <c r="I20" i="33"/>
  <c r="I19" i="33"/>
  <c r="I18" i="33"/>
  <c r="I17" i="33"/>
  <c r="I16" i="33"/>
  <c r="I15" i="33"/>
  <c r="I14" i="33"/>
  <c r="I12" i="33"/>
  <c r="I9" i="33"/>
  <c r="D23" i="134" l="1"/>
  <c r="B38" i="131" l="1"/>
  <c r="D17" i="33" l="1"/>
  <c r="C14" i="33"/>
  <c r="D16" i="33"/>
  <c r="M47" i="119" l="1"/>
  <c r="L47" i="119"/>
  <c r="K47" i="119"/>
  <c r="J47" i="119"/>
  <c r="I47" i="119"/>
  <c r="H47" i="119"/>
  <c r="G47" i="119"/>
  <c r="F47" i="119"/>
  <c r="E47" i="119"/>
  <c r="D47" i="119"/>
  <c r="C47" i="119"/>
  <c r="B47" i="119"/>
  <c r="B23" i="134"/>
  <c r="N37" i="134" l="1"/>
  <c r="O37" i="134" s="1"/>
  <c r="N36" i="134"/>
  <c r="O36" i="134" s="1"/>
  <c r="N35" i="134"/>
  <c r="O35" i="134" s="1"/>
  <c r="N34" i="134"/>
  <c r="O34" i="134" s="1"/>
  <c r="N30" i="134"/>
  <c r="O30" i="134" s="1"/>
  <c r="N29" i="134"/>
  <c r="O29" i="134" s="1"/>
  <c r="N28" i="134"/>
  <c r="O28" i="134" s="1"/>
  <c r="N27" i="134"/>
  <c r="O27" i="134" s="1"/>
  <c r="N26" i="134"/>
  <c r="O26" i="134" s="1"/>
  <c r="N38" i="134" l="1"/>
  <c r="N31" i="134"/>
  <c r="N29" i="117" l="1"/>
  <c r="O29" i="117" s="1"/>
  <c r="M13" i="131"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N8" i="35" l="1"/>
  <c r="E23" i="33"/>
  <c r="C31" i="134"/>
  <c r="C16" i="33"/>
  <c r="H9" i="136" s="1"/>
  <c r="C17" i="33"/>
  <c r="H10" i="136" s="1"/>
  <c r="H7" i="136"/>
  <c r="E32" i="33"/>
  <c r="C15" i="33"/>
  <c r="H8" i="136" s="1"/>
  <c r="B34" i="119"/>
  <c r="B48" i="119" s="1"/>
  <c r="B50" i="119" s="1"/>
  <c r="Q15" i="134"/>
  <c r="P30" i="117"/>
  <c r="P16" i="117"/>
  <c r="B20" i="117"/>
  <c r="C20" i="117"/>
  <c r="D20" i="117"/>
  <c r="E20" i="117"/>
  <c r="F20" i="117"/>
  <c r="G20" i="117"/>
  <c r="H20" i="117"/>
  <c r="I20" i="117"/>
  <c r="J20" i="117"/>
  <c r="K20" i="117"/>
  <c r="L20" i="117"/>
  <c r="M20" i="117"/>
  <c r="N47" i="117"/>
  <c r="O47" i="117" s="1"/>
  <c r="N34" i="117"/>
  <c r="O34" i="117" s="1"/>
  <c r="N33" i="117"/>
  <c r="N35" i="117"/>
  <c r="O35" i="117" s="1"/>
  <c r="N36" i="117"/>
  <c r="P37" i="117"/>
  <c r="N19" i="117"/>
  <c r="N11" i="117"/>
  <c r="N16" i="117" s="1"/>
  <c r="F15" i="33"/>
  <c r="G15" i="33"/>
  <c r="F16" i="33"/>
  <c r="G16" i="33"/>
  <c r="F17" i="33"/>
  <c r="G17" i="33"/>
  <c r="F18" i="33"/>
  <c r="D37" i="131" s="1"/>
  <c r="F19" i="33"/>
  <c r="D38" i="131" s="1"/>
  <c r="G18" i="33"/>
  <c r="E37" i="131" s="1"/>
  <c r="E40" i="131" s="1"/>
  <c r="G19" i="33"/>
  <c r="E38" i="131" s="1"/>
  <c r="D14" i="33"/>
  <c r="B22" i="131" s="1"/>
  <c r="F14" i="33"/>
  <c r="H20" i="136" s="1"/>
  <c r="G14" i="33"/>
  <c r="C22" i="131" s="1"/>
  <c r="H33" i="136"/>
  <c r="H46" i="136"/>
  <c r="M25" i="131"/>
  <c r="M17" i="129"/>
  <c r="M24" i="129"/>
  <c r="M28" i="129"/>
  <c r="M33" i="129"/>
  <c r="B33" i="129"/>
  <c r="C33" i="129"/>
  <c r="D33" i="129"/>
  <c r="E33" i="129"/>
  <c r="F33" i="129"/>
  <c r="G33" i="129"/>
  <c r="I33" i="129"/>
  <c r="J33" i="129"/>
  <c r="K33" i="129"/>
  <c r="L33" i="129"/>
  <c r="N46" i="117"/>
  <c r="O46" i="117" s="1"/>
  <c r="N45" i="117"/>
  <c r="O45" i="117" s="1"/>
  <c r="N44" i="117"/>
  <c r="O44" i="117" s="1"/>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Q48" i="117"/>
  <c r="Q16" i="117"/>
  <c r="G13" i="131"/>
  <c r="F13" i="131"/>
  <c r="E13" i="131"/>
  <c r="G48" i="117"/>
  <c r="G41" i="117"/>
  <c r="G37" i="117"/>
  <c r="G30" i="117"/>
  <c r="G24" i="117"/>
  <c r="G16" i="117"/>
  <c r="D13" i="131"/>
  <c r="D38" i="134"/>
  <c r="C13" i="131"/>
  <c r="M16" i="117"/>
  <c r="L16" i="117"/>
  <c r="J16" i="117"/>
  <c r="I16" i="117"/>
  <c r="H16" i="117"/>
  <c r="F16" i="117"/>
  <c r="E16" i="117"/>
  <c r="D16" i="117"/>
  <c r="C16" i="117"/>
  <c r="P41" i="117"/>
  <c r="P24" i="117"/>
  <c r="P20" i="117"/>
  <c r="Q20" i="117"/>
  <c r="P38" i="134"/>
  <c r="M38" i="134"/>
  <c r="L38" i="134"/>
  <c r="K38" i="134"/>
  <c r="I38" i="134"/>
  <c r="H38" i="134"/>
  <c r="G38" i="134"/>
  <c r="F38" i="134"/>
  <c r="E38" i="134"/>
  <c r="C38" i="134"/>
  <c r="B38"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H73" i="136"/>
  <c r="H68" i="136"/>
  <c r="H72" i="136"/>
  <c r="H74" i="136"/>
  <c r="H75" i="136"/>
  <c r="H76" i="136"/>
  <c r="H77" i="136"/>
  <c r="H78" i="136"/>
  <c r="H79" i="136"/>
  <c r="D15" i="33"/>
  <c r="B33" i="131" s="1"/>
  <c r="D32" i="131"/>
  <c r="F32" i="131" s="1"/>
  <c r="H32" i="131" s="1"/>
  <c r="J32" i="131" s="1"/>
  <c r="C32" i="131"/>
  <c r="E32" i="131" s="1"/>
  <c r="G32" i="131" s="1"/>
  <c r="M32" i="131"/>
  <c r="C18" i="33"/>
  <c r="H11" i="136" s="1"/>
  <c r="D18"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K24" i="117"/>
  <c r="M24" i="117"/>
  <c r="Q24" i="117"/>
  <c r="N27" i="117"/>
  <c r="O27" i="117" s="1"/>
  <c r="N28" i="117"/>
  <c r="O28" i="117" s="1"/>
  <c r="M30" i="117"/>
  <c r="Q30" i="117"/>
  <c r="K37" i="117"/>
  <c r="L37" i="117"/>
  <c r="M37" i="117"/>
  <c r="M41" i="117"/>
  <c r="Q37" i="117"/>
  <c r="N40" i="117"/>
  <c r="O40" i="117" s="1"/>
  <c r="K41" i="117"/>
  <c r="L41" i="117"/>
  <c r="Q41" i="117"/>
  <c r="D9" i="33"/>
  <c r="D10" i="33" s="1"/>
  <c r="D12" i="33"/>
  <c r="D19" i="33"/>
  <c r="D21" i="33"/>
  <c r="D22"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I48" i="119"/>
  <c r="E3" i="11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5" i="33"/>
  <c r="Q32" i="33"/>
  <c r="N45" i="33"/>
  <c r="K45" i="33"/>
  <c r="K32" i="33"/>
  <c r="H45" i="33"/>
  <c r="E45" i="33"/>
  <c r="B45" i="33"/>
  <c r="B32" i="33"/>
  <c r="H146" i="136"/>
  <c r="H25" i="131"/>
  <c r="H133" i="136"/>
  <c r="H94" i="136"/>
  <c r="N32" i="33"/>
  <c r="H32" i="33"/>
  <c r="C27" i="33"/>
  <c r="Q23" i="33"/>
  <c r="Q10" i="33"/>
  <c r="K23" i="33"/>
  <c r="H23" i="33"/>
  <c r="H66" i="136"/>
  <c r="H53" i="136"/>
  <c r="H40" i="136"/>
  <c r="G22" i="33"/>
  <c r="H27" i="136"/>
  <c r="C22" i="33"/>
  <c r="H14" i="136" s="1"/>
  <c r="G21" i="33"/>
  <c r="F21" i="33"/>
  <c r="B23" i="33"/>
  <c r="B10" i="33"/>
  <c r="C19" i="33"/>
  <c r="H12" i="136" s="1"/>
  <c r="G25" i="131"/>
  <c r="H59" i="136"/>
  <c r="H55" i="136"/>
  <c r="H42" i="136"/>
  <c r="H29" i="136"/>
  <c r="G12" i="33"/>
  <c r="F12" i="33"/>
  <c r="H16" i="136" s="1"/>
  <c r="C12" i="33"/>
  <c r="H3" i="136" s="1"/>
  <c r="N10" i="33"/>
  <c r="K10" i="33"/>
  <c r="H10" i="33"/>
  <c r="E10" i="33"/>
  <c r="J10" i="33"/>
  <c r="G9" i="33"/>
  <c r="G10" i="33" s="1"/>
  <c r="F9" i="33"/>
  <c r="C9" i="33"/>
  <c r="C21" i="33"/>
  <c r="H13" i="136" s="1"/>
  <c r="F4" i="33"/>
  <c r="D4" i="33"/>
  <c r="D27" i="33" s="1"/>
  <c r="O11" i="117" l="1"/>
  <c r="P15" i="36"/>
  <c r="Q50" i="117"/>
  <c r="O19" i="117"/>
  <c r="O20" i="117" s="1"/>
  <c r="N20" i="117"/>
  <c r="N48" i="117"/>
  <c r="O24" i="117"/>
  <c r="R24" i="117" s="1"/>
  <c r="N24" i="117"/>
  <c r="N34" i="119"/>
  <c r="N48" i="119" s="1"/>
  <c r="P50" i="117"/>
  <c r="N24" i="33"/>
  <c r="D40" i="131"/>
  <c r="H147" i="136"/>
  <c r="H134" i="136"/>
  <c r="H82" i="136"/>
  <c r="H121" i="136"/>
  <c r="H108" i="136"/>
  <c r="H95" i="136"/>
  <c r="G147" i="136"/>
  <c r="G134" i="136"/>
  <c r="G121" i="136"/>
  <c r="G108" i="136"/>
  <c r="G95" i="136"/>
  <c r="G82" i="136"/>
  <c r="C25" i="131"/>
  <c r="C33" i="131"/>
  <c r="C40" i="131" s="1"/>
  <c r="N46" i="33"/>
  <c r="H85" i="136"/>
  <c r="D42" i="36"/>
  <c r="B50" i="117"/>
  <c r="O33" i="117"/>
  <c r="R33" i="117" s="1"/>
  <c r="R28" i="117"/>
  <c r="R34" i="117"/>
  <c r="R27" i="117"/>
  <c r="R13" i="117"/>
  <c r="R36" i="117"/>
  <c r="R47" i="117"/>
  <c r="R45" i="117"/>
  <c r="R11" i="117"/>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6"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4" i="33"/>
  <c r="Q33" i="36"/>
  <c r="Q42" i="36" s="1"/>
  <c r="H15" i="36"/>
  <c r="X15" i="36"/>
  <c r="G15" i="36"/>
  <c r="C48" i="119"/>
  <c r="C50" i="119" s="1"/>
  <c r="Y13" i="36"/>
  <c r="E33" i="36"/>
  <c r="E42" i="36" s="1"/>
  <c r="F48" i="119"/>
  <c r="D15" i="36"/>
  <c r="O15" i="36"/>
  <c r="L31" i="120"/>
  <c r="E36" i="129"/>
  <c r="E7" i="36"/>
  <c r="E15" i="36" s="1"/>
  <c r="Q7" i="36"/>
  <c r="Q15" i="36" s="1"/>
  <c r="Y7" i="36"/>
  <c r="H42" i="36"/>
  <c r="B31" i="120"/>
  <c r="H36" i="129"/>
  <c r="L50" i="117"/>
  <c r="R14" i="117"/>
  <c r="N33" i="129"/>
  <c r="L48" i="119"/>
  <c r="I33" i="36"/>
  <c r="K31" i="120"/>
  <c r="F31" i="120"/>
  <c r="E31" i="120"/>
  <c r="B36" i="129"/>
  <c r="M36" i="129"/>
  <c r="L36" i="129"/>
  <c r="N14" i="120"/>
  <c r="O38" i="134"/>
  <c r="I50" i="117"/>
  <c r="C23" i="33"/>
  <c r="M48" i="119"/>
  <c r="E48" i="119"/>
  <c r="E50" i="119" s="1"/>
  <c r="G48" i="119"/>
  <c r="J48" i="119"/>
  <c r="D48" i="119"/>
  <c r="D50" i="119" s="1"/>
  <c r="K48" i="119"/>
  <c r="Q24" i="33"/>
  <c r="C31" i="120"/>
  <c r="I36" i="129"/>
  <c r="D50" i="117"/>
  <c r="G50" i="117"/>
  <c r="G23" i="33"/>
  <c r="G24" i="33" s="1"/>
  <c r="B24" i="33"/>
  <c r="Q46" i="33"/>
  <c r="I7" i="36"/>
  <c r="I15" i="36" s="1"/>
  <c r="T15" i="36"/>
  <c r="Y33" i="36"/>
  <c r="Y42" i="36" s="1"/>
  <c r="M40" i="36"/>
  <c r="H48" i="119"/>
  <c r="M31" i="120"/>
  <c r="I31" i="120"/>
  <c r="N22" i="120"/>
  <c r="C36" i="129"/>
  <c r="J36" i="129"/>
  <c r="G36" i="129"/>
  <c r="K36" i="129"/>
  <c r="H24" i="33"/>
  <c r="E50" i="117"/>
  <c r="N28" i="120"/>
  <c r="O23" i="33"/>
  <c r="K46" i="33"/>
  <c r="W15" i="36"/>
  <c r="G42" i="36"/>
  <c r="U33" i="36"/>
  <c r="U42" i="36" s="1"/>
  <c r="J31" i="120"/>
  <c r="F50" i="117"/>
  <c r="M50" i="117"/>
  <c r="K15" i="36"/>
  <c r="S42" i="36"/>
  <c r="W42" i="36"/>
  <c r="I40" i="36"/>
  <c r="N18" i="120"/>
  <c r="D31" i="120"/>
  <c r="N41" i="117"/>
  <c r="K50" i="117"/>
  <c r="I4" i="33"/>
  <c r="F27" i="33"/>
  <c r="G4" i="33"/>
  <c r="G27" i="33" s="1"/>
  <c r="N28" i="129"/>
  <c r="N17" i="129"/>
  <c r="M33" i="36"/>
  <c r="K42" i="36"/>
  <c r="K24" i="33"/>
  <c r="U7" i="36"/>
  <c r="U15" i="36" s="1"/>
  <c r="D23" i="33"/>
  <c r="D24" i="33" s="1"/>
  <c r="C50" i="117"/>
  <c r="F36" i="129"/>
  <c r="R46" i="117"/>
  <c r="J23" i="33"/>
  <c r="J24" i="33" s="1"/>
  <c r="P23" i="33"/>
  <c r="P24" i="33" s="1"/>
  <c r="E46" i="33"/>
  <c r="B46" i="33"/>
  <c r="H31" i="120"/>
  <c r="O31" i="134"/>
  <c r="F23" i="33"/>
  <c r="I23" i="33"/>
  <c r="R40" i="117"/>
  <c r="O41" i="117"/>
  <c r="R41" i="117" s="1"/>
  <c r="R35" i="117"/>
  <c r="N37" i="117"/>
  <c r="N30" i="117"/>
  <c r="H50" i="117"/>
  <c r="R12" i="117"/>
  <c r="B25" i="131"/>
  <c r="G31" i="120"/>
  <c r="N24" i="129"/>
  <c r="R23" i="33"/>
  <c r="S23" i="33"/>
  <c r="S24" i="33" s="1"/>
  <c r="N36" i="129" l="1"/>
  <c r="N50" i="119"/>
  <c r="Y15" i="36"/>
  <c r="O48" i="117"/>
  <c r="R48" i="117" s="1"/>
  <c r="R44" i="117"/>
  <c r="R23" i="117"/>
  <c r="O16" i="117"/>
  <c r="I42" i="36"/>
  <c r="N50" i="117"/>
  <c r="O30" i="117"/>
  <c r="R30" i="117" s="1"/>
  <c r="B40" i="131"/>
  <c r="O37" i="117"/>
  <c r="R37" i="117" s="1"/>
  <c r="C24" i="33"/>
  <c r="O24" i="33"/>
  <c r="R24" i="33"/>
  <c r="I24" i="33"/>
  <c r="F24" i="33"/>
  <c r="N37" i="129"/>
  <c r="M42" i="36"/>
  <c r="N31" i="120"/>
  <c r="J4" i="33"/>
  <c r="J27" i="33" s="1"/>
  <c r="I27" i="33"/>
  <c r="L4" i="33"/>
  <c r="R16" i="117" l="1"/>
  <c r="O50" i="117"/>
  <c r="R50" i="117" s="1"/>
  <c r="M4" i="33"/>
  <c r="M27" i="33" s="1"/>
  <c r="O4" i="33"/>
  <c r="L27" i="33"/>
  <c r="O27" i="33" l="1"/>
  <c r="P4" i="33"/>
  <c r="P27" i="33" s="1"/>
  <c r="R4" i="33"/>
  <c r="S4" i="33" l="1"/>
  <c r="S27" i="33" s="1"/>
  <c r="R27" i="33"/>
</calcChain>
</file>

<file path=xl/sharedStrings.xml><?xml version="1.0" encoding="utf-8"?>
<sst xmlns="http://schemas.openxmlformats.org/spreadsheetml/2006/main" count="1257" uniqueCount="318">
  <si>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</si>
  <si>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</si>
  <si>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</si>
  <si>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</si>
  <si>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</si>
  <si>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</si>
  <si>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</si>
  <si>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</si>
  <si>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</si>
  <si>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</si>
  <si>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</si>
  <si>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</si>
  <si>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</si>
  <si>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</si>
  <si>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</si>
  <si>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</si>
  <si>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</si>
  <si>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</si>
  <si>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</si>
  <si>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</si>
  <si>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</si>
  <si>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</si>
  <si>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</si>
  <si>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</si>
  <si>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</si>
  <si>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</si>
  <si>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</si>
  <si>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</si>
  <si>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</si>
  <si>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</si>
  <si>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</si>
  <si>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</si>
  <si>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</si>
  <si>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</si>
  <si>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</si>
  <si>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</si>
  <si>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</si>
  <si>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</si>
  <si>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</si>
  <si>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</si>
  <si>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</si>
  <si>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</si>
  <si>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</si>
  <si>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</si>
  <si>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</si>
  <si>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</si>
  <si>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</si>
  <si>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</si>
  <si>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</si>
  <si>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</si>
  <si>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</si>
  <si>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</si>
  <si>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</si>
  <si>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</si>
  <si>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</si>
  <si>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t>TOU-PA-P Agricultural</t>
  </si>
  <si>
    <t xml:space="preserve"> </t>
  </si>
  <si>
    <t>Sub-Total Demand Response Programs</t>
  </si>
  <si>
    <t>Total All Programs</t>
  </si>
  <si>
    <t>July</t>
  </si>
  <si>
    <t xml:space="preserve">August </t>
  </si>
  <si>
    <t>October</t>
  </si>
  <si>
    <t>December</t>
  </si>
  <si>
    <t>Notes: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</si>
  <si>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</si>
  <si>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</si>
  <si>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</si>
  <si>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</si>
  <si>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</si>
  <si>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</si>
  <si>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</si>
  <si>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</si>
  <si>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</si>
  <si>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</si>
  <si>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</si>
  <si>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</si>
  <si>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</si>
  <si>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</si>
  <si>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TOU-DR-P (Voluntary Residential) and TOU-A-P (Small Commercial) include Technology Deployment (TD).</t>
  </si>
  <si>
    <t> </t>
  </si>
  <si>
    <t>Average Ex Post Load Impact kW / Customer</t>
  </si>
  <si>
    <t xml:space="preserve">Notes: </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</si>
  <si>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</si>
  <si>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</si>
  <si>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</si>
  <si>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</si>
  <si>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</si>
  <si>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</si>
  <si>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</si>
  <si>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</si>
  <si>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</si>
  <si>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</si>
  <si>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</si>
  <si>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</si>
  <si>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</si>
  <si>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</si>
  <si>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</si>
  <si>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</si>
  <si>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</si>
  <si>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</si>
  <si>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</si>
  <si>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</si>
  <si>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</si>
  <si>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</si>
  <si>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</si>
  <si>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</si>
  <si>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</si>
  <si>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</si>
  <si>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</si>
  <si>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</si>
  <si>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</si>
  <si>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</si>
  <si>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</si>
  <si>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</si>
  <si>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</si>
  <si>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</si>
  <si>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</si>
  <si>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</si>
  <si>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</si>
  <si>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</si>
  <si>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</si>
  <si>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</si>
  <si>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</si>
  <si>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</si>
  <si>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</si>
  <si>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</si>
  <si>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</si>
  <si>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</si>
  <si>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</si>
  <si>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</si>
  <si>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 xml:space="preserve">Back Up Generators (BUGs) </t>
  </si>
  <si>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</si>
  <si>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</si>
  <si>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</si>
  <si>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</si>
  <si>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</si>
  <si>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Labor</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</si>
  <si>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</si>
  <si>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</si>
  <si>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</si>
  <si>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</si>
  <si>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</si>
  <si>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</si>
  <si>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</si>
  <si>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t xml:space="preserve">SAN DIEGO GAS &amp; ELECTRIC REPORT COMPANY ON INTERRUPTIBLE LOAD AND DEMAND RESPONSE PROGRAMS </t>
  </si>
  <si>
    <t>YEAR TO DATE PROGRAM EXPENDITURES</t>
  </si>
  <si>
    <t>Cost Item</t>
  </si>
  <si>
    <t>5-Year Funding (2018-2022)</t>
  </si>
  <si>
    <t xml:space="preserve">Fund shift Adjustments </t>
  </si>
  <si>
    <t>Percent Funding</t>
  </si>
  <si>
    <t>Category 1: Supply Side DR Programs</t>
  </si>
  <si>
    <t>AC Saver Day-Ahead</t>
  </si>
  <si>
    <t xml:space="preserve">AC Saver Day-Of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</si>
  <si>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</si>
  <si>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</si>
  <si>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</si>
  <si>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</si>
  <si>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</si>
  <si>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</si>
  <si>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</si>
  <si>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</si>
  <si>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</si>
  <si>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</si>
  <si>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</si>
  <si>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</si>
  <si>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</si>
  <si>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</si>
  <si>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</si>
  <si>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</si>
  <si>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Category 6:  Marketing, Education, and Outreach</t>
  </si>
  <si>
    <t xml:space="preserve"> Budget Category 6 Total</t>
  </si>
  <si>
    <t>Category 7:  Portfolio Support</t>
  </si>
  <si>
    <t>Regulatory Policy &amp; Program Support (Gen. Admin.)</t>
  </si>
  <si>
    <t>DR Potential Study</t>
  </si>
  <si>
    <t xml:space="preserve"> Budget Category 7 Total</t>
  </si>
  <si>
    <t>Total Incremental Cost</t>
  </si>
  <si>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</si>
  <si>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</si>
  <si>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</si>
  <si>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</si>
  <si>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</si>
  <si>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</si>
  <si>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</si>
  <si>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</si>
  <si>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</si>
  <si>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</si>
  <si>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</si>
  <si>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</si>
  <si>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</si>
  <si>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</si>
  <si>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</si>
  <si>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</si>
  <si>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</si>
  <si>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</si>
  <si>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</si>
  <si>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</si>
  <si>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</si>
  <si>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</si>
  <si>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</si>
  <si>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</si>
  <si>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</si>
  <si>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</si>
  <si>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</si>
  <si>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</si>
  <si>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t>General Admin</t>
  </si>
  <si>
    <r>
      <t>SW-AG</t>
    </r>
    <r>
      <rPr>
        <vertAlign val="superscript"/>
        <sz val="9"/>
        <color rgb="FFFF0000"/>
        <rFont val="Arial"/>
        <family val="2"/>
      </rPr>
      <t xml:space="preserve"> </t>
    </r>
  </si>
  <si>
    <t xml:space="preserve">Local Marketing Res and Non-Res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</si>
  <si>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</si>
  <si>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</si>
  <si>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</si>
  <si>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</si>
  <si>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</si>
  <si>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</si>
  <si>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</si>
  <si>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</si>
  <si>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</si>
  <si>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</si>
  <si>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</si>
  <si>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</si>
  <si>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</si>
  <si>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</si>
  <si>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</si>
  <si>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</si>
  <si>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</si>
  <si>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</si>
  <si>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</si>
  <si>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</si>
  <si>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</si>
  <si>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</si>
  <si>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</si>
  <si>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</si>
  <si>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</si>
  <si>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</si>
  <si>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Operations </t>
    </r>
    <r>
      <rPr>
        <vertAlign val="superscript"/>
        <sz val="10"/>
        <color rgb="FFFF0000"/>
        <rFont val="Arial"/>
        <family val="2"/>
      </rPr>
      <t>2</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</si>
  <si>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</si>
  <si>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</si>
  <si>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</si>
  <si>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</si>
  <si>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</si>
  <si>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</si>
  <si>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</si>
  <si>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</si>
  <si>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</si>
  <si>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</si>
  <si>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</si>
  <si>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</si>
  <si>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Year-to Date 2021 Expenditures</t>
  </si>
  <si>
    <t>Program Cycle-to-Date Total Expenditures (2018-2021)</t>
  </si>
  <si>
    <t>Program Cycle-to Date 2018-2021 Expenditures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</si>
  <si>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</si>
  <si>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</si>
  <si>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</si>
  <si>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t>
  </si>
  <si>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</si>
  <si>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t>-  CPP-D, TOU-DR-P (Voluntary Residential) and TOU-A-P (Small Commercial) ex-ante estimates include Technology Deployment (TD).</t>
  </si>
  <si>
    <t>- The TOU-PA-P Agricultural Ex-Post average per customer estimates are based on Program Year 2020 draft SDG&amp;E DR Load Impacts report for the months of January and February. The draft ex-post estimates show an increase load impact of (-0.06kW) - therefore the estimates were converted to zero.</t>
  </si>
  <si>
    <t>2021 Expenditures for Marketing, Education and Outreach</t>
  </si>
  <si>
    <r>
      <t>Base Interruptible Program</t>
    </r>
    <r>
      <rPr>
        <vertAlign val="superscript"/>
        <sz val="10"/>
        <color rgb="FFFF0000"/>
        <rFont val="Arial"/>
        <family val="2"/>
      </rPr>
      <t xml:space="preserve"> </t>
    </r>
  </si>
  <si>
    <t xml:space="preserve">Capacity Bidding Program </t>
  </si>
  <si>
    <r>
      <t>AC Saver Day Ahead</t>
    </r>
    <r>
      <rPr>
        <vertAlign val="superscript"/>
        <sz val="10"/>
        <color rgb="FFFF0000"/>
        <rFont val="Arial"/>
        <family val="2"/>
      </rPr>
      <t xml:space="preserve"> </t>
    </r>
  </si>
  <si>
    <t>AC Saver Day Of</t>
  </si>
  <si>
    <t xml:space="preserve">Technology Deployment </t>
  </si>
  <si>
    <t xml:space="preserve">Collateral- Development, Printing, Distribution etc. (all non-labor costs) </t>
  </si>
  <si>
    <r>
      <t>Paid Media</t>
    </r>
    <r>
      <rPr>
        <vertAlign val="superscript"/>
        <sz val="10"/>
        <color rgb="FFFF0000"/>
        <rFont val="Arial"/>
        <family val="2"/>
      </rPr>
      <t xml:space="preserve"> </t>
    </r>
  </si>
  <si>
    <r>
      <t>Other Costs</t>
    </r>
    <r>
      <rPr>
        <b/>
        <vertAlign val="superscript"/>
        <sz val="10"/>
        <color rgb="FFFF0000"/>
        <rFont val="Arial"/>
        <family val="2"/>
      </rPr>
      <t xml:space="preserve"> 2</t>
    </r>
  </si>
  <si>
    <r>
      <t>IT Infrastructure &amp; Systems Support</t>
    </r>
    <r>
      <rPr>
        <vertAlign val="superscript"/>
        <sz val="10"/>
        <rFont val="Arial"/>
        <family val="2"/>
      </rPr>
      <t xml:space="preserve"> </t>
    </r>
  </si>
  <si>
    <r>
      <t>Regulatory Policy &amp; Program Support (Gen. Admin.)</t>
    </r>
    <r>
      <rPr>
        <vertAlign val="superscript"/>
        <sz val="10"/>
        <color rgb="FFFF0000"/>
        <rFont val="Arial"/>
        <family val="2"/>
      </rPr>
      <t xml:space="preserve"> </t>
    </r>
  </si>
  <si>
    <t xml:space="preserve">Local Marketing Education &amp; Outreach (LME&amp;O) </t>
  </si>
  <si>
    <t xml:space="preserve"> Budget Category 5 Total</t>
  </si>
  <si>
    <t>Demand Response Auction Mechanism Pilot (DRAM)</t>
  </si>
  <si>
    <r>
      <t>Local Marketing Education &amp; Outreach (LMEO)</t>
    </r>
    <r>
      <rPr>
        <vertAlign val="superscript"/>
        <sz val="10"/>
        <color rgb="FFFF0000"/>
        <rFont val="Arial"/>
        <family val="2"/>
      </rPr>
      <t xml:space="preserve"> </t>
    </r>
  </si>
  <si>
    <t xml:space="preserve">IT </t>
  </si>
  <si>
    <r>
      <t>EM&amp;V</t>
    </r>
    <r>
      <rPr>
        <vertAlign val="superscript"/>
        <sz val="9"/>
        <color rgb="FFFF0000"/>
        <rFont val="Arial"/>
        <family val="2"/>
      </rPr>
      <t xml:space="preserve"> </t>
    </r>
  </si>
  <si>
    <r>
      <t>SW-COM</t>
    </r>
    <r>
      <rPr>
        <vertAlign val="superscript"/>
        <sz val="9"/>
        <color rgb="FFFF0000"/>
        <rFont val="Arial"/>
        <family val="2"/>
      </rPr>
      <t xml:space="preserve"> </t>
    </r>
  </si>
  <si>
    <r>
      <t>SW-IND</t>
    </r>
    <r>
      <rPr>
        <b/>
        <vertAlign val="superscript"/>
        <sz val="9"/>
        <color rgb="FFFF0000"/>
        <rFont val="Arial"/>
        <family val="2"/>
      </rPr>
      <t xml:space="preserve"> </t>
    </r>
  </si>
  <si>
    <t xml:space="preserve">Behavioral </t>
  </si>
  <si>
    <r>
      <t>Demand Response Auction Mechanism (DRAM)</t>
    </r>
    <r>
      <rPr>
        <vertAlign val="superscript"/>
        <sz val="9"/>
        <color rgb="FFFF0000"/>
        <rFont val="Arial"/>
        <family val="2"/>
      </rPr>
      <t xml:space="preserve"> </t>
    </r>
  </si>
  <si>
    <t xml:space="preserve">Rule 32 </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</si>
  <si>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</si>
  <si>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</si>
  <si>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</si>
  <si>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t xml:space="preserve">Ex Ante Estimated MW </t>
  </si>
  <si>
    <t xml:space="preserve">Ex Post Estimated MW </t>
  </si>
  <si>
    <r>
      <rPr>
        <vertAlign val="superscript"/>
        <sz val="11"/>
        <color rgb="FFFF0000"/>
        <rFont val="Arial"/>
        <family val="2"/>
      </rPr>
      <t xml:space="preserve">4 </t>
    </r>
    <r>
      <rPr>
        <vertAlign val="superscript"/>
        <sz val="11"/>
        <rFont val="Arial"/>
        <family val="2"/>
      </rPr>
      <t xml:space="preserve"> </t>
    </r>
    <r>
      <rPr>
        <sz val="11"/>
        <rFont val="Arial"/>
        <family val="2"/>
      </rPr>
      <t>On March 27, 2020 SDG&amp;E filed Advice Letter 3522-E (Tier 3) proposed to close the Over Generation Pilot, SDG&amp;E is awaiting a Decision. The Over Generation Pilot close on December 31, 2020.</t>
    </r>
  </si>
  <si>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3598-E_2898-G/3599-E_2897G.</t>
    </r>
  </si>
  <si>
    <r>
      <t>Rule 32 Meter</t>
    </r>
    <r>
      <rPr>
        <sz val="10"/>
        <rFont val="Arial"/>
        <family val="2"/>
      </rPr>
      <t xml:space="preserve"> </t>
    </r>
    <r>
      <rPr>
        <vertAlign val="superscript"/>
        <sz val="10"/>
        <color rgb="FFFF0000"/>
        <rFont val="Arial"/>
        <family val="2"/>
      </rPr>
      <t>4</t>
    </r>
  </si>
  <si>
    <r>
      <rPr>
        <vertAlign val="superscript"/>
        <sz val="11"/>
        <color rgb="FFFF0000"/>
        <rFont val="Arial"/>
        <family val="2"/>
      </rPr>
      <t>4</t>
    </r>
    <r>
      <rPr>
        <sz val="11"/>
        <rFont val="Arial"/>
        <family val="2"/>
      </rPr>
      <t xml:space="preserve"> January credit is related to labor corrections and labor accrual reversals related to a prior period expense (December 2020).</t>
    </r>
  </si>
  <si>
    <r>
      <rPr>
        <vertAlign val="superscript"/>
        <sz val="11"/>
        <color rgb="FFFF0000"/>
        <rFont val="Arial"/>
        <family val="2"/>
      </rPr>
      <t>2</t>
    </r>
    <r>
      <rPr>
        <sz val="11"/>
        <rFont val="Arial"/>
        <family val="2"/>
      </rPr>
      <t xml:space="preserve"> January credit is related to an accrual reversal. The expense accrual occurred in a prior period (December 2020).</t>
    </r>
  </si>
  <si>
    <t>Per Resolution E-4906 (issued 7/21/18), Ordering Paragraph 30 
approved a total fund shift of $934,498 of which $234,498 shifted from the Capacity Bidding Program to support the Back Up Generators (BUGs) prohibited resources restrictions.</t>
  </si>
  <si>
    <t>Technology Incentives (TI)</t>
  </si>
  <si>
    <t>Per Resolution  E-4906 (issued 7/21/18), Ordering Paragraph 30  approved a total fund shift of $934,498 of which $700,000 to be shifted from the Technology Incentives Program to support the Back Up Generators (BUGs) prohibited resources restrictions.</t>
  </si>
  <si>
    <t>EM&amp;V</t>
  </si>
  <si>
    <t xml:space="preserve">Per SDG&amp;E's AL 3031-E-B (filed July 23, 2018) a total of $194,400 to be shifted from EM&amp;V funds for the cost to test the installation of loggers, meters and the cost of the verification administrator to support the Back Up Generators (BUGs) prohibited resources restrictions.  </t>
  </si>
  <si>
    <t>Back Up Generation Resources (BUGs)</t>
  </si>
  <si>
    <t xml:space="preserve">Per Resolution E-4906 (issued 7/21/18), Ordering Paragraph 30 
approved a total fund shift of $934,498 to support the Back Up Generators (BUGs) prohibited resources restrictions.
Per SDG&amp;E's AL 3031-E-B (filed July 23, 2018) a total of $194,400 to be shifted from EM&amp;V funds for the cost to test the installation of loggers, meters and the cost of the verification administrator to support the Back Up Generators (BUGs) prohibited resources restrictions.  
</t>
  </si>
  <si>
    <t>AMDRMA</t>
  </si>
  <si>
    <t>Category 4: Emerging &amp; Enabling Technologies</t>
  </si>
  <si>
    <t>Category 7: Portfolio Support</t>
  </si>
  <si>
    <t>Program Cycle to Date (2018 - 2021)</t>
  </si>
  <si>
    <t>-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t>
  </si>
  <si>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</si>
  <si>
    <r>
      <rPr>
        <vertAlign val="superscript"/>
        <sz val="11"/>
        <color rgb="FFFF0000"/>
        <rFont val="Arial"/>
        <family val="2"/>
      </rPr>
      <t>1</t>
    </r>
    <r>
      <rPr>
        <sz val="11"/>
        <rFont val="Arial"/>
        <family val="2"/>
      </rPr>
      <t xml:space="preserve">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 </t>
    </r>
  </si>
  <si>
    <r>
      <rPr>
        <vertAlign val="superscript"/>
        <sz val="11"/>
        <color rgb="FFFF0000"/>
        <rFont val="Arial"/>
        <family val="2"/>
      </rPr>
      <t>2</t>
    </r>
    <r>
      <rPr>
        <sz val="11"/>
        <rFont val="Arial"/>
        <family val="2"/>
      </rPr>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r>
  </si>
  <si>
    <r>
      <t xml:space="preserve">IDSM DR COM </t>
    </r>
    <r>
      <rPr>
        <vertAlign val="superscript"/>
        <sz val="9"/>
        <color rgb="FFFF0000"/>
        <rFont val="Arial"/>
        <family val="2"/>
      </rPr>
      <t>1,2</t>
    </r>
  </si>
  <si>
    <r>
      <t xml:space="preserve">Local Capacity Requirements (LCR) </t>
    </r>
    <r>
      <rPr>
        <vertAlign val="superscript"/>
        <sz val="9"/>
        <color rgb="FFFF0000"/>
        <rFont val="Arial"/>
        <family val="2"/>
      </rPr>
      <t>1</t>
    </r>
  </si>
  <si>
    <r>
      <rPr>
        <vertAlign val="superscript"/>
        <sz val="10"/>
        <color rgb="FFFF0000"/>
        <rFont val="Arial"/>
        <family val="2"/>
      </rPr>
      <t>1</t>
    </r>
    <r>
      <rPr>
        <vertAlign val="superscript"/>
        <sz val="10"/>
        <rFont val="Arial"/>
        <family val="2"/>
      </rPr>
      <t xml:space="preserve"> </t>
    </r>
    <r>
      <rPr>
        <sz val="10"/>
        <rFont val="Arial"/>
        <family val="2"/>
      </rPr>
      <t>February credits are related to accrual reversals related to a prior period expense (January 2021).</t>
    </r>
  </si>
  <si>
    <r>
      <rPr>
        <vertAlign val="superscript"/>
        <sz val="10"/>
        <color rgb="FFFF0000"/>
        <rFont val="Arial"/>
        <family val="2"/>
      </rPr>
      <t>2</t>
    </r>
    <r>
      <rPr>
        <sz val="10"/>
        <rFont val="Arial"/>
        <family val="2"/>
      </rPr>
      <t xml:space="preserve"> March Credit is related to a discount received on services purchased in a prior period.</t>
    </r>
  </si>
  <si>
    <t>-  Capacity Bidding Program reports the number of nominations not enrollments.</t>
  </si>
  <si>
    <r>
      <t>-</t>
    </r>
    <r>
      <rPr>
        <sz val="8"/>
        <rFont val="Arial"/>
        <family val="2"/>
      </rPr>
      <t xml:space="preserve">  </t>
    </r>
    <r>
      <rPr>
        <sz val="12"/>
        <rFont val="Arial"/>
        <family val="2"/>
      </rPr>
      <t>The reduction in the number of customers on AC Saver Day-Ahead Commercial in March is due to the un-enrollment of customer with thermostat that had been offline for more then 18 months.</t>
    </r>
  </si>
  <si>
    <t>April 2021</t>
  </si>
  <si>
    <r>
      <t>Base Interruptible Program (BIP)</t>
    </r>
    <r>
      <rPr>
        <b/>
        <vertAlign val="superscript"/>
        <sz val="10"/>
        <color rgb="FFFF0000"/>
        <rFont val="Arial"/>
        <family val="2"/>
      </rPr>
      <t xml:space="preserve"> 1</t>
    </r>
  </si>
  <si>
    <r>
      <rPr>
        <b/>
        <vertAlign val="superscript"/>
        <sz val="11"/>
        <color rgb="FFFF0000"/>
        <rFont val="Arial"/>
        <family val="2"/>
      </rPr>
      <t>1</t>
    </r>
    <r>
      <rPr>
        <sz val="10"/>
        <rFont val="Arial"/>
        <family val="2"/>
      </rPr>
      <t xml:space="preserve"> BIP total does not include April bill credits as a result of Reporting outages related to Envision Cross Over.</t>
    </r>
  </si>
  <si>
    <r>
      <t xml:space="preserve">Base Interruptible Program (BIP) </t>
    </r>
    <r>
      <rPr>
        <b/>
        <vertAlign val="superscript"/>
        <sz val="10"/>
        <color rgb="FFFF0000"/>
        <rFont val="Arial"/>
        <family val="2"/>
      </rPr>
      <t>3</t>
    </r>
  </si>
  <si>
    <r>
      <t>Technology Incentives</t>
    </r>
    <r>
      <rPr>
        <vertAlign val="superscript"/>
        <sz val="10"/>
        <color rgb="FFFF0000"/>
        <rFont val="Arial"/>
        <family val="2"/>
      </rPr>
      <t xml:space="preserve"> </t>
    </r>
    <r>
      <rPr>
        <b/>
        <vertAlign val="superscript"/>
        <sz val="10"/>
        <color rgb="FFFF0000"/>
        <rFont val="Arial"/>
        <family val="2"/>
      </rPr>
      <t>3</t>
    </r>
  </si>
  <si>
    <r>
      <t>Smart Pricing</t>
    </r>
    <r>
      <rPr>
        <vertAlign val="superscript"/>
        <sz val="10"/>
        <color rgb="FFFF0000"/>
        <rFont val="Arial"/>
        <family val="2"/>
      </rPr>
      <t xml:space="preserve"> </t>
    </r>
    <r>
      <rPr>
        <b/>
        <vertAlign val="superscript"/>
        <sz val="10"/>
        <color rgb="FFFF0000"/>
        <rFont val="Arial"/>
        <family val="2"/>
      </rPr>
      <t>3</t>
    </r>
  </si>
  <si>
    <r>
      <rPr>
        <b/>
        <vertAlign val="superscript"/>
        <sz val="11"/>
        <color rgb="FFFF0000"/>
        <rFont val="Arial"/>
        <family val="2"/>
      </rPr>
      <t>3</t>
    </r>
    <r>
      <rPr>
        <sz val="11"/>
        <rFont val="Arial"/>
        <family val="2"/>
      </rPr>
      <t xml:space="preserve"> April credits are related to Accrual Reversals that occurred in a previous reporting period (March)</t>
    </r>
  </si>
  <si>
    <r>
      <rPr>
        <vertAlign val="superscript"/>
        <sz val="10"/>
        <color rgb="FFFF0000"/>
        <rFont val="Arial"/>
        <family val="2"/>
      </rPr>
      <t>3</t>
    </r>
    <r>
      <rPr>
        <sz val="10"/>
        <rFont val="Arial"/>
        <family val="2"/>
      </rPr>
      <t xml:space="preserve"> April Bill credits for BIP were not posted as a result of Reporting outages related to Envision Cross Over.</t>
    </r>
  </si>
  <si>
    <t xml:space="preserve"> - Count of Service Accounts reported for TOU-PA-P Agricultural, TOU-A-P Small Commercial and TOU-DR-P Voluntary Residential for April 2021 includes accounts enrolled through May 13, 2021 due to Envision cutover data validation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</si>
</sst>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 numFmtId="177" formatCode="_(* #,##0.00_);_(* \(#,##0.00\);_(* &quot;-&quot;_);_(@_)"/>
    <numFmt numFmtId="178" formatCode="_(&quot;$&quot;* #,##0.0_);_(&quot;$&quot;* \(#,##0.0\);_(&quot;$&quot;* &quot;-&quot;?_);_(@_)"/>
    <numFmt numFmtId="180" formatCode="_(&quot;$&quot;* #,##0.00_);_(&quot;$&quot;* \(#,##0.00\);_(&quot;$&quot;* &quot;-&quot;_);_(@_)"/>
  </numFmts>
  <fonts count="1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vertAlign val="superscrip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1"/>
      <color indexed="37"/>
      <name val="Calibri"/>
      <family val="2"/>
    </font>
    <font>
      <sz val="11"/>
      <color indexed="20"/>
      <name val="Calibri"/>
      <family val="2"/>
    </font>
    <font>
      <b/>
      <sz val="11"/>
      <color indexed="17"/>
      <name val="Calibri"/>
      <family val="2"/>
    </font>
    <font>
      <b/>
      <sz val="11"/>
      <color indexed="52"/>
      <name val="Calibri"/>
      <family val="2"/>
    </font>
    <font>
      <sz val="10"/>
      <name val="Times New Roman"/>
      <family val="1"/>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8"/>
      <color indexed="62"/>
      <name val="Arial"/>
      <family val="2"/>
    </font>
    <font>
      <b/>
      <sz val="8"/>
      <color indexed="8"/>
      <name val="Arial"/>
      <family val="2"/>
    </font>
    <font>
      <b/>
      <sz val="8"/>
      <name val="Arial"/>
      <family val="2"/>
    </font>
    <font>
      <sz val="8"/>
      <color indexed="8"/>
      <name val="Arial"/>
      <family val="2"/>
    </font>
    <font>
      <b/>
      <sz val="16"/>
      <color indexed="23"/>
      <name val="Arial"/>
      <family val="2"/>
    </font>
    <font>
      <sz val="19"/>
      <name val="Arial"/>
      <family val="2"/>
    </font>
    <font>
      <sz val="8"/>
      <color indexed="14"/>
      <name val="Arial"/>
      <family val="2"/>
    </font>
    <font>
      <b/>
      <sz val="18"/>
      <color indexed="56"/>
      <name val="Cambria"/>
      <family val="2"/>
    </font>
    <font>
      <sz val="11"/>
      <color indexed="14"/>
      <name val="Calibri"/>
      <family val="2"/>
    </font>
    <font>
      <b/>
      <sz val="18"/>
      <color theme="3"/>
      <name val="Cambria"/>
      <family val="2"/>
      <scheme val="major"/>
    </font>
    <font>
      <strike/>
      <sz val="11"/>
      <name val="Arial"/>
      <family val="2"/>
    </font>
    <font>
      <strike/>
      <sz val="10"/>
      <name val="Arial"/>
      <family val="2"/>
    </font>
    <font>
      <vertAlign val="superscript"/>
      <sz val="11"/>
      <name val="Arial"/>
      <family val="2"/>
    </font>
    <font>
      <sz val="11"/>
      <name val="Cambria"/>
      <family val="1"/>
    </font>
    <font>
      <sz val="9"/>
      <name val="Cambria"/>
      <family val="1"/>
    </font>
    <font>
      <sz val="12"/>
      <name val="Arial"/>
      <family val="2"/>
    </font>
    <font>
      <b/>
      <vertAlign val="superscript"/>
      <sz val="11"/>
      <color rgb="FFFF0000"/>
      <name val="Arial"/>
      <family val="2"/>
    </font>
  </fonts>
  <fills count="126">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indexed="49"/>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solid">
        <fgColor indexed="60"/>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patternFill>
    </fill>
    <fill>
      <patternFill patternType="solid">
        <fgColor indexed="22"/>
        <bgColor indexed="64"/>
      </patternFill>
    </fill>
    <fill>
      <patternFill patternType="solid">
        <fgColor indexed="26"/>
        <bgColor indexed="64"/>
      </patternFill>
    </fill>
    <fill>
      <patternFill patternType="solid">
        <fgColor indexed="20"/>
      </patternFill>
    </fill>
    <fill>
      <patternFill patternType="solid">
        <fgColor rgb="FFFFFF00"/>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58"/>
      </bottom>
      <diagonal/>
    </border>
    <border>
      <left/>
      <right/>
      <top/>
      <bottom style="medium">
        <color indexed="58"/>
      </bottom>
      <diagonal/>
    </border>
    <border>
      <left/>
      <right/>
      <top/>
      <bottom style="medium">
        <color indexed="30"/>
      </bottom>
      <diagonal/>
    </border>
    <border>
      <left/>
      <right/>
      <top/>
      <bottom style="double">
        <color indexed="17"/>
      </bottom>
      <diagonal/>
    </border>
    <border>
      <left/>
      <right/>
      <top/>
      <bottom style="double">
        <color indexed="52"/>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auto="1"/>
      </top>
      <bottom style="thin">
        <color auto="1"/>
      </bottom>
      <diagonal/>
    </border>
    <border>
      <left/>
      <right/>
      <top style="thin">
        <color indexed="64"/>
      </top>
      <bottom/>
      <diagonal/>
    </border>
    <border>
      <left style="medium">
        <color indexed="64"/>
      </left>
      <right style="medium">
        <color indexed="64"/>
      </right>
      <top style="thin">
        <color indexed="64"/>
      </top>
      <bottom/>
      <diagonal/>
    </border>
  </borders>
  <cellStyleXfs count="3314">
    <xf numFmtId="175" fontId="0"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1" fillId="13" borderId="0" applyNumberFormat="0" applyBorder="0" applyAlignment="0" applyProtection="0"/>
    <xf numFmtId="175" fontId="21" fillId="14" borderId="0" applyNumberFormat="0" applyBorder="0" applyAlignment="0" applyProtection="0"/>
    <xf numFmtId="175" fontId="20" fillId="15" borderId="0" applyNumberFormat="0" applyBorder="0" applyAlignment="0" applyProtection="0"/>
    <xf numFmtId="175" fontId="20" fillId="16" borderId="0" applyNumberFormat="0" applyBorder="0" applyAlignment="0" applyProtection="0"/>
    <xf numFmtId="175" fontId="21" fillId="17" borderId="0" applyNumberFormat="0" applyBorder="0" applyAlignment="0" applyProtection="0"/>
    <xf numFmtId="175" fontId="21" fillId="18" borderId="0" applyNumberFormat="0" applyBorder="0" applyAlignment="0" applyProtection="0"/>
    <xf numFmtId="175" fontId="20" fillId="19" borderId="0" applyNumberFormat="0" applyBorder="0" applyAlignment="0" applyProtection="0"/>
    <xf numFmtId="175" fontId="20" fillId="19" borderId="0" applyNumberFormat="0" applyBorder="0" applyAlignment="0" applyProtection="0"/>
    <xf numFmtId="175" fontId="21" fillId="20" borderId="0" applyNumberFormat="0" applyBorder="0" applyAlignment="0" applyProtection="0"/>
    <xf numFmtId="175" fontId="21" fillId="21" borderId="0" applyNumberFormat="0" applyBorder="0" applyAlignment="0" applyProtection="0"/>
    <xf numFmtId="175" fontId="20" fillId="22" borderId="0" applyNumberFormat="0" applyBorder="0" applyAlignment="0" applyProtection="0"/>
    <xf numFmtId="175" fontId="20" fillId="23" borderId="0" applyNumberFormat="0" applyBorder="0" applyAlignment="0" applyProtection="0"/>
    <xf numFmtId="175" fontId="21" fillId="21" borderId="0" applyNumberFormat="0" applyBorder="0" applyAlignment="0" applyProtection="0"/>
    <xf numFmtId="175" fontId="21" fillId="22" borderId="0" applyNumberFormat="0" applyBorder="0" applyAlignment="0" applyProtection="0"/>
    <xf numFmtId="175" fontId="20" fillId="22" borderId="0" applyNumberFormat="0" applyBorder="0" applyAlignment="0" applyProtection="0"/>
    <xf numFmtId="175" fontId="20" fillId="24" borderId="0" applyNumberFormat="0" applyBorder="0" applyAlignment="0" applyProtection="0"/>
    <xf numFmtId="175" fontId="21" fillId="13" borderId="0" applyNumberFormat="0" applyBorder="0" applyAlignment="0" applyProtection="0"/>
    <xf numFmtId="175" fontId="21" fillId="14" borderId="0" applyNumberFormat="0" applyBorder="0" applyAlignment="0" applyProtection="0"/>
    <xf numFmtId="175" fontId="20" fillId="14" borderId="0" applyNumberFormat="0" applyBorder="0" applyAlignment="0" applyProtection="0"/>
    <xf numFmtId="175" fontId="20" fillId="25" borderId="0" applyNumberFormat="0" applyBorder="0" applyAlignment="0" applyProtection="0"/>
    <xf numFmtId="175" fontId="21" fillId="26" borderId="0" applyNumberFormat="0" applyBorder="0" applyAlignment="0" applyProtection="0"/>
    <xf numFmtId="175" fontId="21" fillId="18" borderId="0" applyNumberFormat="0" applyBorder="0" applyAlignment="0" applyProtection="0"/>
    <xf numFmtId="175" fontId="20" fillId="27"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43" fontId="49" fillId="0" borderId="0" applyFont="0" applyFill="0" applyBorder="0" applyAlignment="0" applyProtection="0"/>
    <xf numFmtId="43" fontId="14" fillId="0" borderId="0" applyFont="0" applyFill="0" applyBorder="0" applyAlignment="0" applyProtection="0"/>
    <xf numFmtId="44" fontId="49" fillId="0" borderId="0" applyFont="0" applyFill="0" applyBorder="0" applyAlignment="0" applyProtection="0"/>
    <xf numFmtId="44" fontId="14" fillId="0" borderId="0" applyFont="0" applyFill="0" applyBorder="0" applyAlignment="0" applyProtection="0"/>
    <xf numFmtId="44" fontId="50" fillId="0" borderId="0" applyFont="0" applyFill="0" applyBorder="0" applyAlignment="0" applyProtection="0"/>
    <xf numFmtId="44" fontId="14" fillId="0" borderId="0" applyFont="0" applyFill="0" applyBorder="0" applyAlignment="0" applyProtection="0"/>
    <xf numFmtId="44" fontId="50" fillId="0" borderId="0" applyFont="0" applyFill="0" applyBorder="0" applyAlignment="0" applyProtection="0"/>
    <xf numFmtId="175" fontId="25" fillId="29" borderId="0" applyNumberFormat="0" applyBorder="0" applyAlignment="0" applyProtection="0"/>
    <xf numFmtId="175" fontId="25" fillId="30" borderId="0" applyNumberFormat="0" applyBorder="0" applyAlignment="0" applyProtection="0"/>
    <xf numFmtId="175" fontId="25" fillId="31" borderId="0" applyNumberFormat="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0" borderId="0"/>
    <xf numFmtId="175" fontId="16" fillId="0" borderId="0"/>
    <xf numFmtId="175" fontId="14" fillId="26" borderId="7" applyNumberFormat="0" applyFont="0" applyAlignment="0" applyProtection="0"/>
    <xf numFmtId="175" fontId="34" fillId="28" borderId="8" applyNumberFormat="0" applyAlignment="0" applyProtection="0"/>
    <xf numFmtId="9" fontId="49" fillId="0" borderId="0" applyFont="0" applyFill="0" applyBorder="0" applyAlignment="0" applyProtection="0"/>
    <xf numFmtId="9" fontId="14" fillId="0" borderId="0" applyFont="0" applyFill="0" applyBorder="0" applyAlignment="0" applyProtection="0"/>
    <xf numFmtId="4" fontId="35" fillId="33" borderId="9" applyNumberFormat="0" applyProtection="0">
      <alignment vertical="center"/>
    </xf>
    <xf numFmtId="4" fontId="36" fillId="33" borderId="9" applyNumberFormat="0" applyProtection="0">
      <alignment vertical="center"/>
    </xf>
    <xf numFmtId="4" fontId="35" fillId="33" borderId="9" applyNumberFormat="0" applyProtection="0">
      <alignment horizontal="left" vertical="center" indent="1"/>
    </xf>
    <xf numFmtId="175" fontId="35" fillId="33" borderId="9" applyNumberFormat="0" applyProtection="0">
      <alignment horizontal="left" vertical="top" indent="1"/>
    </xf>
    <xf numFmtId="4" fontId="35" fillId="2" borderId="0" applyNumberFormat="0" applyProtection="0">
      <alignment horizontal="left" vertical="center" indent="1"/>
    </xf>
    <xf numFmtId="4" fontId="18" fillId="7" borderId="9" applyNumberFormat="0" applyProtection="0">
      <alignment horizontal="right" vertical="center"/>
    </xf>
    <xf numFmtId="4" fontId="18" fillId="3" borderId="9" applyNumberFormat="0" applyProtection="0">
      <alignment horizontal="right" vertical="center"/>
    </xf>
    <xf numFmtId="4" fontId="18" fillId="34" borderId="9" applyNumberFormat="0" applyProtection="0">
      <alignment horizontal="right" vertical="center"/>
    </xf>
    <xf numFmtId="4" fontId="18" fillId="35" borderId="9" applyNumberFormat="0" applyProtection="0">
      <alignment horizontal="right" vertical="center"/>
    </xf>
    <xf numFmtId="4" fontId="18" fillId="36" borderId="9" applyNumberFormat="0" applyProtection="0">
      <alignment horizontal="right" vertical="center"/>
    </xf>
    <xf numFmtId="4" fontId="18" fillId="37" borderId="9" applyNumberFormat="0" applyProtection="0">
      <alignment horizontal="right" vertical="center"/>
    </xf>
    <xf numFmtId="4" fontId="18" fillId="9" borderId="9" applyNumberFormat="0" applyProtection="0">
      <alignment horizontal="right" vertical="center"/>
    </xf>
    <xf numFmtId="4" fontId="18" fillId="38" borderId="9" applyNumberFormat="0" applyProtection="0">
      <alignment horizontal="right" vertical="center"/>
    </xf>
    <xf numFmtId="4" fontId="18" fillId="39" borderId="9" applyNumberFormat="0" applyProtection="0">
      <alignment horizontal="right" vertical="center"/>
    </xf>
    <xf numFmtId="4" fontId="35" fillId="40" borderId="10" applyNumberFormat="0" applyProtection="0">
      <alignment horizontal="left" vertical="center" indent="1"/>
    </xf>
    <xf numFmtId="4" fontId="18" fillId="41" borderId="0" applyNumberFormat="0" applyProtection="0">
      <alignment horizontal="left" vertical="center" indent="1"/>
    </xf>
    <xf numFmtId="4" fontId="37" fillId="8" borderId="0" applyNumberFormat="0" applyProtection="0">
      <alignment horizontal="left" vertical="center" indent="1"/>
    </xf>
    <xf numFmtId="4" fontId="18" fillId="2" borderId="9" applyNumberFormat="0" applyProtection="0">
      <alignment horizontal="right" vertical="center"/>
    </xf>
    <xf numFmtId="4" fontId="16" fillId="41" borderId="0" applyNumberFormat="0" applyProtection="0">
      <alignment horizontal="left" vertical="center" indent="1"/>
    </xf>
    <xf numFmtId="4" fontId="16" fillId="2" borderId="0" applyNumberFormat="0" applyProtection="0">
      <alignment horizontal="left" vertical="center" indent="1"/>
    </xf>
    <xf numFmtId="175" fontId="14" fillId="8" borderId="9" applyNumberFormat="0" applyProtection="0">
      <alignment horizontal="left" vertical="center" indent="1"/>
    </xf>
    <xf numFmtId="175" fontId="14" fillId="8" borderId="9" applyNumberFormat="0" applyProtection="0">
      <alignment horizontal="left" vertical="top" indent="1"/>
    </xf>
    <xf numFmtId="175" fontId="14" fillId="2" borderId="9" applyNumberFormat="0" applyProtection="0">
      <alignment horizontal="left" vertical="center" indent="1"/>
    </xf>
    <xf numFmtId="175" fontId="14" fillId="2" borderId="9" applyNumberFormat="0" applyProtection="0">
      <alignment horizontal="left" vertical="top" indent="1"/>
    </xf>
    <xf numFmtId="175" fontId="14" fillId="6" borderId="9" applyNumberFormat="0" applyProtection="0">
      <alignment horizontal="left" vertical="center" indent="1"/>
    </xf>
    <xf numFmtId="175" fontId="14" fillId="6" borderId="9" applyNumberFormat="0" applyProtection="0">
      <alignment horizontal="left" vertical="top" indent="1"/>
    </xf>
    <xf numFmtId="175" fontId="14" fillId="41" borderId="9" applyNumberFormat="0" applyProtection="0">
      <alignment horizontal="left" vertical="center" indent="1"/>
    </xf>
    <xf numFmtId="175" fontId="14" fillId="41" borderId="9" applyNumberFormat="0" applyProtection="0">
      <alignment horizontal="left" vertical="top" indent="1"/>
    </xf>
    <xf numFmtId="175" fontId="14" fillId="5" borderId="11" applyNumberFormat="0">
      <protection locked="0"/>
    </xf>
    <xf numFmtId="4" fontId="18" fillId="4" borderId="9" applyNumberFormat="0" applyProtection="0">
      <alignment vertical="center"/>
    </xf>
    <xf numFmtId="4" fontId="38" fillId="4" borderId="9" applyNumberFormat="0" applyProtection="0">
      <alignment vertical="center"/>
    </xf>
    <xf numFmtId="4" fontId="18" fillId="4" borderId="9" applyNumberFormat="0" applyProtection="0">
      <alignment horizontal="left" vertical="center" indent="1"/>
    </xf>
    <xf numFmtId="175" fontId="18" fillId="4" borderId="9" applyNumberFormat="0" applyProtection="0">
      <alignment horizontal="left" vertical="top" indent="1"/>
    </xf>
    <xf numFmtId="4" fontId="18" fillId="41" borderId="9" applyNumberFormat="0" applyProtection="0">
      <alignment horizontal="right" vertical="center"/>
    </xf>
    <xf numFmtId="4" fontId="38" fillId="41" borderId="9" applyNumberFormat="0" applyProtection="0">
      <alignment horizontal="right" vertical="center"/>
    </xf>
    <xf numFmtId="4" fontId="18" fillId="2" borderId="9" applyNumberFormat="0" applyProtection="0">
      <alignment horizontal="left" vertical="center" indent="1"/>
    </xf>
    <xf numFmtId="175" fontId="18" fillId="2" borderId="9" applyNumberFormat="0" applyProtection="0">
      <alignment horizontal="left" vertical="top" indent="1"/>
    </xf>
    <xf numFmtId="4" fontId="39" fillId="42" borderId="0" applyNumberFormat="0" applyProtection="0">
      <alignment horizontal="left" vertical="center" indent="1"/>
    </xf>
    <xf numFmtId="4" fontId="40" fillId="41" borderId="9" applyNumberFormat="0" applyProtection="0">
      <alignment horizontal="right" vertical="center"/>
    </xf>
    <xf numFmtId="175" fontId="41" fillId="0" borderId="0" applyNumberFormat="0" applyFill="0" applyBorder="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44" fontId="14" fillId="0" borderId="0" applyFont="0" applyFill="0" applyBorder="0" applyAlignment="0" applyProtection="0"/>
    <xf numFmtId="4" fontId="16" fillId="7" borderId="9" applyNumberFormat="0" applyProtection="0">
      <alignment horizontal="right" vertical="center"/>
    </xf>
    <xf numFmtId="4" fontId="16" fillId="3" borderId="9" applyNumberFormat="0" applyProtection="0">
      <alignment horizontal="right" vertical="center"/>
    </xf>
    <xf numFmtId="4" fontId="16" fillId="34" borderId="9" applyNumberFormat="0" applyProtection="0">
      <alignment horizontal="right" vertical="center"/>
    </xf>
    <xf numFmtId="4" fontId="16" fillId="35" borderId="9" applyNumberFormat="0" applyProtection="0">
      <alignment horizontal="right" vertical="center"/>
    </xf>
    <xf numFmtId="4" fontId="16" fillId="36" borderId="9" applyNumberFormat="0" applyProtection="0">
      <alignment horizontal="right" vertical="center"/>
    </xf>
    <xf numFmtId="4" fontId="16" fillId="37" borderId="9" applyNumberFormat="0" applyProtection="0">
      <alignment horizontal="right" vertical="center"/>
    </xf>
    <xf numFmtId="4" fontId="16" fillId="9" borderId="9" applyNumberFormat="0" applyProtection="0">
      <alignment horizontal="right" vertical="center"/>
    </xf>
    <xf numFmtId="4" fontId="16" fillId="38" borderId="9" applyNumberFormat="0" applyProtection="0">
      <alignment horizontal="right" vertical="center"/>
    </xf>
    <xf numFmtId="4" fontId="16" fillId="39" borderId="9" applyNumberFormat="0" applyProtection="0">
      <alignment horizontal="right" vertical="center"/>
    </xf>
    <xf numFmtId="4" fontId="16" fillId="41" borderId="0" applyNumberFormat="0" applyProtection="0">
      <alignment horizontal="left" vertical="center" indent="1"/>
    </xf>
    <xf numFmtId="4" fontId="16" fillId="2" borderId="9" applyNumberFormat="0" applyProtection="0">
      <alignment horizontal="right" vertical="center"/>
    </xf>
    <xf numFmtId="4" fontId="16" fillId="4" borderId="9" applyNumberFormat="0" applyProtection="0">
      <alignment vertical="center"/>
    </xf>
    <xf numFmtId="4" fontId="16" fillId="4" borderId="9" applyNumberFormat="0" applyProtection="0">
      <alignment horizontal="left" vertical="center" indent="1"/>
    </xf>
    <xf numFmtId="175" fontId="16" fillId="4" borderId="9" applyNumberFormat="0" applyProtection="0">
      <alignment horizontal="left" vertical="top" indent="1"/>
    </xf>
    <xf numFmtId="4" fontId="16" fillId="41" borderId="9" applyNumberFormat="0" applyProtection="0">
      <alignment horizontal="right" vertical="center"/>
    </xf>
    <xf numFmtId="4" fontId="16" fillId="2" borderId="9" applyNumberFormat="0" applyProtection="0">
      <alignment horizontal="left" vertical="center" indent="1"/>
    </xf>
    <xf numFmtId="175" fontId="16" fillId="2" borderId="9" applyNumberFormat="0" applyProtection="0">
      <alignment horizontal="left" vertical="top" indent="1"/>
    </xf>
    <xf numFmtId="9" fontId="56" fillId="0" borderId="0" applyFont="0" applyFill="0" applyBorder="0" applyAlignment="0" applyProtection="0"/>
    <xf numFmtId="175" fontId="58" fillId="0" borderId="0"/>
    <xf numFmtId="175" fontId="13"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4" fillId="0" borderId="0"/>
    <xf numFmtId="175" fontId="12" fillId="0" borderId="0"/>
    <xf numFmtId="175" fontId="59"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2" fillId="0" borderId="0"/>
    <xf numFmtId="175" fontId="11"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1" fillId="0" borderId="0"/>
    <xf numFmtId="175" fontId="11" fillId="0" borderId="0"/>
    <xf numFmtId="175" fontId="14" fillId="0" borderId="0"/>
    <xf numFmtId="175" fontId="11" fillId="0" borderId="0"/>
    <xf numFmtId="175" fontId="10"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0"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75" fontId="9" fillId="0" borderId="0"/>
    <xf numFmtId="175" fontId="8" fillId="0" borderId="0"/>
    <xf numFmtId="175" fontId="61"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14" fillId="0" borderId="0"/>
    <xf numFmtId="175" fontId="7" fillId="0" borderId="0"/>
    <xf numFmtId="0" fontId="6"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14"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5"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4" fillId="0" borderId="0"/>
    <xf numFmtId="175" fontId="73"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0" fontId="7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3" fillId="0" borderId="0"/>
    <xf numFmtId="175" fontId="14"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14" fillId="0" borderId="0"/>
    <xf numFmtId="0" fontId="2" fillId="0" borderId="0"/>
    <xf numFmtId="4" fontId="43" fillId="0" borderId="69" applyNumberFormat="0" applyProtection="0">
      <alignment horizontal="right" vertical="center"/>
    </xf>
    <xf numFmtId="4" fontId="43" fillId="51" borderId="69" applyNumberFormat="0" applyProtection="0">
      <alignment horizontal="left" vertical="center" indent="1"/>
    </xf>
    <xf numFmtId="43" fontId="2" fillId="0" borderId="0" applyFont="0" applyFill="0" applyBorder="0" applyAlignment="0" applyProtection="0"/>
    <xf numFmtId="0" fontId="1" fillId="0" borderId="0"/>
    <xf numFmtId="0" fontId="1" fillId="66" borderId="0" applyNumberFormat="0" applyBorder="0" applyAlignment="0" applyProtection="0"/>
    <xf numFmtId="0" fontId="1" fillId="7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0" fillId="22"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4" borderId="0" applyNumberFormat="0" applyBorder="0" applyAlignment="0" applyProtection="0"/>
    <xf numFmtId="0" fontId="21" fillId="26" borderId="0" applyNumberFormat="0" applyBorder="0" applyAlignment="0" applyProtection="0"/>
    <xf numFmtId="0" fontId="21" fillId="18" borderId="0" applyNumberFormat="0" applyBorder="0" applyAlignment="0" applyProtection="0"/>
    <xf numFmtId="0" fontId="20" fillId="27" borderId="0" applyNumberFormat="0" applyBorder="0" applyAlignment="0" applyProtection="0"/>
    <xf numFmtId="0" fontId="103" fillId="76" borderId="0" applyNumberFormat="0" applyBorder="0" applyAlignment="0" applyProtection="0"/>
    <xf numFmtId="0" fontId="1" fillId="74" borderId="0" applyNumberFormat="0" applyBorder="0" applyAlignment="0" applyProtection="0"/>
    <xf numFmtId="0" fontId="1" fillId="73" borderId="0" applyNumberFormat="0" applyBorder="0" applyAlignment="0" applyProtection="0"/>
    <xf numFmtId="0" fontId="103" fillId="72"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 fillId="65" borderId="0" applyNumberFormat="0" applyBorder="0" applyAlignment="0" applyProtection="0"/>
    <xf numFmtId="0" fontId="102" fillId="0" borderId="82" applyNumberFormat="0" applyFill="0" applyAlignment="0" applyProtection="0"/>
    <xf numFmtId="0" fontId="101" fillId="0" borderId="0" applyNumberFormat="0" applyFill="0" applyBorder="0" applyAlignment="0" applyProtection="0"/>
    <xf numFmtId="0" fontId="97" fillId="57" borderId="77" applyNumberFormat="0" applyAlignment="0" applyProtection="0"/>
    <xf numFmtId="0" fontId="93" fillId="53" borderId="0" applyNumberFormat="0" applyBorder="0" applyAlignment="0" applyProtection="0"/>
    <xf numFmtId="0" fontId="35" fillId="33" borderId="9" applyNumberFormat="0" applyProtection="0">
      <alignment horizontal="left" vertical="top" indent="1"/>
    </xf>
    <xf numFmtId="0" fontId="92" fillId="0" borderId="0" applyNumberFormat="0" applyFill="0" applyBorder="0" applyAlignment="0" applyProtection="0"/>
    <xf numFmtId="0" fontId="92" fillId="0" borderId="76" applyNumberFormat="0" applyFill="0" applyAlignment="0" applyProtection="0"/>
    <xf numFmtId="0" fontId="91" fillId="0" borderId="75" applyNumberFormat="0" applyFill="0" applyAlignment="0" applyProtection="0"/>
    <xf numFmtId="0" fontId="90" fillId="0" borderId="74" applyNumberFormat="0" applyFill="0" applyAlignment="0" applyProtection="0"/>
    <xf numFmtId="43" fontId="14" fillId="0" borderId="0" applyFont="0" applyFill="0" applyBorder="0" applyAlignment="0" applyProtection="0"/>
    <xf numFmtId="0" fontId="103" fillId="64" borderId="0" applyNumberFormat="0" applyBorder="0" applyAlignment="0" applyProtection="0"/>
    <xf numFmtId="0" fontId="1" fillId="61" borderId="0" applyNumberFormat="0" applyBorder="0" applyAlignment="0" applyProtection="0"/>
    <xf numFmtId="0" fontId="14" fillId="8" borderId="9" applyNumberFormat="0" applyProtection="0">
      <alignment horizontal="left" vertical="center" indent="1"/>
    </xf>
    <xf numFmtId="0" fontId="14" fillId="8" borderId="9" applyNumberFormat="0" applyProtection="0">
      <alignment horizontal="left" vertical="top" indent="1"/>
    </xf>
    <xf numFmtId="0" fontId="14" fillId="2" borderId="9" applyNumberFormat="0" applyProtection="0">
      <alignment horizontal="left" vertical="center" indent="1"/>
    </xf>
    <xf numFmtId="0" fontId="14" fillId="2" borderId="9" applyNumberFormat="0" applyProtection="0">
      <alignment horizontal="left" vertical="top" indent="1"/>
    </xf>
    <xf numFmtId="0" fontId="14" fillId="6" borderId="9" applyNumberFormat="0" applyProtection="0">
      <alignment horizontal="left" vertical="center" indent="1"/>
    </xf>
    <xf numFmtId="0" fontId="14" fillId="6" borderId="9" applyNumberFormat="0" applyProtection="0">
      <alignment horizontal="left" vertical="top" indent="1"/>
    </xf>
    <xf numFmtId="0" fontId="14" fillId="41" borderId="9" applyNumberFormat="0" applyProtection="0">
      <alignment horizontal="left" vertical="center" indent="1"/>
    </xf>
    <xf numFmtId="0" fontId="14" fillId="41" borderId="9" applyNumberFormat="0" applyProtection="0">
      <alignment horizontal="left" vertical="top" indent="1"/>
    </xf>
    <xf numFmtId="0" fontId="14" fillId="5" borderId="11" applyNumberFormat="0">
      <protection locked="0"/>
    </xf>
    <xf numFmtId="0" fontId="1" fillId="61" borderId="0" applyNumberFormat="0" applyBorder="0" applyAlignment="0" applyProtection="0"/>
    <xf numFmtId="0" fontId="98" fillId="0" borderId="79" applyNumberFormat="0" applyFill="0" applyAlignment="0" applyProtection="0"/>
    <xf numFmtId="0" fontId="1" fillId="62" borderId="0" applyNumberFormat="0" applyBorder="0" applyAlignment="0" applyProtection="0"/>
    <xf numFmtId="0" fontId="16" fillId="4" borderId="9" applyNumberFormat="0" applyProtection="0">
      <alignment horizontal="left" vertical="top" indent="1"/>
    </xf>
    <xf numFmtId="0" fontId="1" fillId="61" borderId="0" applyNumberFormat="0" applyBorder="0" applyAlignment="0" applyProtection="0"/>
    <xf numFmtId="0" fontId="1" fillId="61" borderId="0" applyNumberFormat="0" applyBorder="0" applyAlignment="0" applyProtection="0"/>
    <xf numFmtId="0" fontId="94" fillId="54" borderId="0" applyNumberFormat="0" applyBorder="0" applyAlignment="0" applyProtection="0"/>
    <xf numFmtId="0" fontId="16" fillId="2" borderId="9" applyNumberFormat="0" applyProtection="0">
      <alignment horizontal="left" vertical="top" indent="1"/>
    </xf>
    <xf numFmtId="0" fontId="103" fillId="64" borderId="0" applyNumberFormat="0" applyBorder="0" applyAlignment="0" applyProtection="0"/>
    <xf numFmtId="0" fontId="103" fillId="60" borderId="0" applyNumberFormat="0" applyBorder="0" applyAlignment="0" applyProtection="0"/>
    <xf numFmtId="0" fontId="41" fillId="0" borderId="0" applyNumberFormat="0" applyFill="0" applyBorder="0" applyAlignment="0" applyProtection="0"/>
    <xf numFmtId="0" fontId="103" fillId="68" borderId="0" applyNumberFormat="0" applyBorder="0" applyAlignment="0" applyProtection="0"/>
    <xf numFmtId="0" fontId="1" fillId="69"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03" fillId="80" borderId="0" applyNumberFormat="0" applyBorder="0" applyAlignment="0" applyProtection="0"/>
    <xf numFmtId="0" fontId="1" fillId="8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21" fillId="85" borderId="0" applyNumberFormat="0" applyBorder="0" applyAlignment="0" applyProtection="0"/>
    <xf numFmtId="0" fontId="21" fillId="8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21" fillId="86" borderId="0" applyNumberFormat="0" applyBorder="0" applyAlignment="0" applyProtection="0"/>
    <xf numFmtId="0" fontId="1" fillId="61" borderId="0" applyNumberFormat="0" applyBorder="0" applyAlignment="0" applyProtection="0"/>
    <xf numFmtId="0" fontId="1" fillId="82" borderId="0" applyNumberFormat="0" applyBorder="0" applyAlignment="0" applyProtection="0"/>
    <xf numFmtId="0" fontId="1" fillId="0" borderId="0"/>
    <xf numFmtId="0" fontId="100" fillId="0" borderId="0" applyNumberFormat="0" applyFill="0" applyBorder="0" applyAlignment="0" applyProtection="0"/>
    <xf numFmtId="0" fontId="99" fillId="58" borderId="80" applyNumberFormat="0" applyAlignment="0" applyProtection="0"/>
    <xf numFmtId="0" fontId="21" fillId="7" borderId="0" applyNumberFormat="0" applyBorder="0" applyAlignment="0" applyProtection="0"/>
    <xf numFmtId="0" fontId="21" fillId="84" borderId="0" applyNumberFormat="0" applyBorder="0" applyAlignment="0" applyProtection="0"/>
    <xf numFmtId="0" fontId="21" fillId="84" borderId="0" applyNumberFormat="0" applyBorder="0" applyAlignment="0" applyProtection="0"/>
    <xf numFmtId="0" fontId="96" fillId="57" borderId="78" applyNumberFormat="0" applyAlignment="0" applyProtection="0"/>
    <xf numFmtId="0" fontId="95" fillId="56" borderId="77" applyNumberFormat="0" applyAlignment="0" applyProtection="0"/>
    <xf numFmtId="0" fontId="21" fillId="7" borderId="0" applyNumberFormat="0" applyBorder="0" applyAlignment="0" applyProtection="0"/>
    <xf numFmtId="0" fontId="21" fillId="86"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21" fillId="87" borderId="0" applyNumberFormat="0" applyBorder="0" applyAlignment="0" applyProtection="0"/>
    <xf numFmtId="0" fontId="21" fillId="8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0" fillId="88" borderId="0" applyNumberFormat="0" applyBorder="0" applyAlignment="0" applyProtection="0"/>
    <xf numFmtId="0" fontId="20" fillId="3" borderId="0" applyNumberFormat="0" applyBorder="0" applyAlignment="0" applyProtection="0"/>
    <xf numFmtId="0" fontId="20" fillId="39" borderId="0" applyNumberFormat="0" applyBorder="0" applyAlignment="0" applyProtection="0"/>
    <xf numFmtId="0" fontId="20" fillId="89" borderId="0" applyNumberFormat="0" applyBorder="0" applyAlignment="0" applyProtection="0"/>
    <xf numFmtId="0" fontId="20" fillId="51" borderId="0" applyNumberFormat="0" applyBorder="0" applyAlignment="0" applyProtection="0"/>
    <xf numFmtId="0" fontId="20" fillId="36" borderId="0" applyNumberFormat="0" applyBorder="0" applyAlignment="0" applyProtection="0"/>
    <xf numFmtId="0" fontId="21" fillId="90" borderId="0" applyNumberFormat="0" applyBorder="0" applyAlignment="0" applyProtection="0"/>
    <xf numFmtId="0" fontId="21" fillId="90"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0" fillId="91" borderId="0" applyNumberFormat="0" applyBorder="0" applyAlignment="0" applyProtection="0"/>
    <xf numFmtId="0" fontId="20" fillId="1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1" fillId="93" borderId="0" applyNumberFormat="0" applyBorder="0" applyAlignment="0" applyProtection="0"/>
    <xf numFmtId="0" fontId="21" fillId="93"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xf numFmtId="0" fontId="20" fillId="16"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1" fillId="94" borderId="0" applyNumberFormat="0" applyBorder="0" applyAlignment="0" applyProtection="0"/>
    <xf numFmtId="0" fontId="21" fillId="94" borderId="0" applyNumberFormat="0" applyBorder="0" applyAlignment="0" applyProtection="0"/>
    <xf numFmtId="0" fontId="21" fillId="95" borderId="0" applyNumberFormat="0" applyBorder="0" applyAlignment="0" applyProtection="0"/>
    <xf numFmtId="0" fontId="21" fillId="95" borderId="0" applyNumberFormat="0" applyBorder="0" applyAlignment="0" applyProtection="0"/>
    <xf numFmtId="0" fontId="20" fillId="96" borderId="0" applyNumberFormat="0" applyBorder="0" applyAlignment="0" applyProtection="0"/>
    <xf numFmtId="0" fontId="20" fillId="97"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93" borderId="0" applyNumberFormat="0" applyBorder="0" applyAlignment="0" applyProtection="0"/>
    <xf numFmtId="0" fontId="21" fillId="93"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0" fillId="21" borderId="0" applyNumberFormat="0" applyBorder="0" applyAlignment="0" applyProtection="0"/>
    <xf numFmtId="0" fontId="20" fillId="98"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103" fillId="68" borderId="0" applyNumberFormat="0" applyBorder="0" applyAlignment="0" applyProtection="0"/>
    <xf numFmtId="0" fontId="20" fillId="91" borderId="0" applyNumberFormat="0" applyBorder="0" applyAlignment="0" applyProtection="0"/>
    <xf numFmtId="0" fontId="20" fillId="9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0" fillId="99" borderId="0" applyNumberFormat="0" applyBorder="0" applyAlignment="0" applyProtection="0"/>
    <xf numFmtId="0" fontId="20" fillId="100"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05" fillId="26" borderId="0" applyNumberFormat="0" applyBorder="0" applyAlignment="0" applyProtection="0"/>
    <xf numFmtId="0" fontId="94" fillId="54" borderId="0" applyNumberFormat="0" applyBorder="0" applyAlignment="0" applyProtection="0"/>
    <xf numFmtId="0" fontId="106" fillId="7" borderId="0" applyNumberFormat="0" applyBorder="0" applyAlignment="0" applyProtection="0"/>
    <xf numFmtId="0" fontId="107" fillId="101" borderId="69" applyNumberFormat="0" applyAlignment="0" applyProtection="0"/>
    <xf numFmtId="0" fontId="108" fillId="10" borderId="1" applyNumberFormat="0" applyAlignment="0" applyProtection="0"/>
    <xf numFmtId="0" fontId="24" fillId="98" borderId="2" applyNumberFormat="0" applyAlignment="0" applyProtection="0"/>
    <xf numFmtId="0" fontId="24" fillId="102" borderId="2" applyNumberFormat="0" applyAlignment="0" applyProtection="0"/>
    <xf numFmtId="41" fontId="10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21"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0" fontId="103" fillId="60"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2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25" fillId="103" borderId="0" applyNumberFormat="0" applyBorder="0" applyAlignment="0" applyProtection="0"/>
    <xf numFmtId="0" fontId="25" fillId="104" borderId="0" applyNumberFormat="0" applyBorder="0" applyAlignment="0" applyProtection="0"/>
    <xf numFmtId="0" fontId="110" fillId="0" borderId="0" applyNumberFormat="0" applyFill="0" applyBorder="0" applyAlignment="0" applyProtection="0"/>
    <xf numFmtId="0" fontId="21" fillId="95" borderId="0" applyNumberFormat="0" applyBorder="0" applyAlignment="0" applyProtection="0"/>
    <xf numFmtId="0" fontId="27" fillId="85" borderId="0" applyNumberFormat="0" applyBorder="0" applyAlignment="0" applyProtection="0"/>
    <xf numFmtId="0" fontId="21" fillId="95" borderId="0" applyNumberFormat="0" applyBorder="0" applyAlignment="0" applyProtection="0"/>
    <xf numFmtId="0" fontId="28" fillId="0" borderId="3" applyNumberFormat="0" applyFill="0" applyAlignment="0" applyProtection="0"/>
    <xf numFmtId="0" fontId="111" fillId="0" borderId="84" applyNumberFormat="0" applyFill="0" applyAlignment="0" applyProtection="0"/>
    <xf numFmtId="0" fontId="29" fillId="0" borderId="85" applyNumberFormat="0" applyFill="0" applyAlignment="0" applyProtection="0"/>
    <xf numFmtId="0" fontId="112" fillId="0" borderId="4" applyNumberFormat="0" applyFill="0" applyAlignment="0" applyProtection="0"/>
    <xf numFmtId="0" fontId="30" fillId="0" borderId="86" applyNumberFormat="0" applyFill="0" applyAlignment="0" applyProtection="0"/>
    <xf numFmtId="0" fontId="113" fillId="0" borderId="87" applyNumberFormat="0" applyFill="0" applyAlignment="0" applyProtection="0"/>
    <xf numFmtId="0" fontId="30" fillId="0" borderId="0" applyNumberFormat="0" applyFill="0" applyBorder="0" applyAlignment="0" applyProtection="0"/>
    <xf numFmtId="0" fontId="113" fillId="0" borderId="0" applyNumberFormat="0" applyFill="0" applyBorder="0" applyAlignment="0" applyProtection="0"/>
    <xf numFmtId="0" fontId="31" fillId="27" borderId="69" applyNumberFormat="0" applyAlignment="0" applyProtection="0"/>
    <xf numFmtId="0" fontId="114" fillId="11" borderId="1" applyNumberFormat="0" applyAlignment="0" applyProtection="0"/>
    <xf numFmtId="0" fontId="27" fillId="0" borderId="88" applyNumberFormat="0" applyFill="0" applyAlignment="0" applyProtection="0"/>
    <xf numFmtId="0" fontId="115" fillId="0" borderId="89" applyNumberFormat="0" applyFill="0" applyAlignment="0" applyProtection="0"/>
    <xf numFmtId="0" fontId="27" fillId="27" borderId="0" applyNumberFormat="0" applyBorder="0" applyAlignment="0" applyProtection="0"/>
    <xf numFmtId="0" fontId="104" fillId="55" borderId="0" applyNumberFormat="0" applyBorder="0" applyAlignment="0" applyProtection="0"/>
    <xf numFmtId="0" fontId="33" fillId="33" borderId="0" applyNumberFormat="0" applyBorder="0" applyAlignment="0" applyProtection="0"/>
    <xf numFmtId="0" fontId="1" fillId="0" borderId="0"/>
    <xf numFmtId="0" fontId="1" fillId="0" borderId="0"/>
    <xf numFmtId="0" fontId="109" fillId="0" borderId="0"/>
    <xf numFmtId="0" fontId="109" fillId="0" borderId="0"/>
    <xf numFmtId="0" fontId="14" fillId="0" borderId="0"/>
    <xf numFmtId="0" fontId="109" fillId="0" borderId="0"/>
    <xf numFmtId="0" fontId="109" fillId="0" borderId="0"/>
    <xf numFmtId="0" fontId="109"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21" fillId="0" borderId="0"/>
    <xf numFmtId="0" fontId="21" fillId="0" borderId="0"/>
    <xf numFmtId="0" fontId="21" fillId="0" borderId="0"/>
    <xf numFmtId="0" fontId="21" fillId="0" borderId="0"/>
    <xf numFmtId="0" fontId="14" fillId="0" borderId="0"/>
    <xf numFmtId="0" fontId="21" fillId="0" borderId="0"/>
    <xf numFmtId="0" fontId="21" fillId="0" borderId="0"/>
    <xf numFmtId="0" fontId="21" fillId="0" borderId="0"/>
    <xf numFmtId="0" fontId="21" fillId="0" borderId="0"/>
    <xf numFmtId="0" fontId="43" fillId="105" borderId="0"/>
    <xf numFmtId="0" fontId="21" fillId="0" borderId="0"/>
    <xf numFmtId="0" fontId="14" fillId="0" borderId="0"/>
    <xf numFmtId="0" fontId="14" fillId="0" borderId="0"/>
    <xf numFmtId="0" fontId="21" fillId="0" borderId="0"/>
    <xf numFmtId="0" fontId="21" fillId="0" borderId="0"/>
    <xf numFmtId="0" fontId="43" fillId="105" borderId="0"/>
    <xf numFmtId="0" fontId="21" fillId="0" borderId="0"/>
    <xf numFmtId="0" fontId="21" fillId="0" borderId="0"/>
    <xf numFmtId="0" fontId="14" fillId="0" borderId="0"/>
    <xf numFmtId="0" fontId="21" fillId="0" borderId="0"/>
    <xf numFmtId="0" fontId="21" fillId="0" borderId="0"/>
    <xf numFmtId="0" fontId="21" fillId="0" borderId="0"/>
    <xf numFmtId="0" fontId="21" fillId="0" borderId="0"/>
    <xf numFmtId="0" fontId="21" fillId="0" borderId="0"/>
    <xf numFmtId="0" fontId="2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 fillId="59" borderId="81" applyNumberFormat="0" applyFont="0" applyAlignment="0" applyProtection="0"/>
    <xf numFmtId="0" fontId="16" fillId="4" borderId="7" applyNumberFormat="0" applyFont="0" applyAlignment="0" applyProtection="0"/>
    <xf numFmtId="0" fontId="21" fillId="59" borderId="81" applyNumberFormat="0" applyFont="0" applyAlignment="0" applyProtection="0"/>
    <xf numFmtId="0" fontId="43" fillId="26" borderId="69" applyNumberFormat="0" applyFont="0" applyAlignment="0" applyProtection="0"/>
    <xf numFmtId="0" fontId="21" fillId="59" borderId="81" applyNumberFormat="0" applyFont="0" applyAlignment="0" applyProtection="0"/>
    <xf numFmtId="0" fontId="21" fillId="59" borderId="81" applyNumberFormat="0" applyFont="0" applyAlignment="0" applyProtection="0"/>
    <xf numFmtId="0" fontId="1" fillId="59" borderId="81" applyNumberFormat="0" applyFont="0" applyAlignment="0" applyProtection="0"/>
    <xf numFmtId="0" fontId="34" fillId="101" borderId="8" applyNumberFormat="0" applyAlignment="0" applyProtection="0"/>
    <xf numFmtId="0" fontId="34" fillId="10" borderId="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 fontId="16" fillId="106" borderId="8" applyNumberFormat="0" applyProtection="0">
      <alignment vertical="center"/>
    </xf>
    <xf numFmtId="4" fontId="16" fillId="106" borderId="8" applyNumberFormat="0" applyProtection="0">
      <alignment vertical="center"/>
    </xf>
    <xf numFmtId="4" fontId="43" fillId="33" borderId="69" applyNumberFormat="0" applyProtection="0">
      <alignment vertical="center"/>
    </xf>
    <xf numFmtId="4" fontId="43" fillId="33" borderId="69" applyNumberFormat="0" applyProtection="0">
      <alignment vertical="center"/>
    </xf>
    <xf numFmtId="4" fontId="43" fillId="33" borderId="69" applyNumberFormat="0" applyProtection="0">
      <alignment vertical="center"/>
    </xf>
    <xf numFmtId="4" fontId="38" fillId="106" borderId="8" applyNumberFormat="0" applyProtection="0">
      <alignment vertical="center"/>
    </xf>
    <xf numFmtId="4" fontId="116" fillId="106" borderId="69" applyNumberFormat="0" applyProtection="0">
      <alignment vertical="center"/>
    </xf>
    <xf numFmtId="4" fontId="16" fillId="106" borderId="8" applyNumberFormat="0" applyProtection="0">
      <alignment horizontal="left" vertical="center" indent="1"/>
    </xf>
    <xf numFmtId="4" fontId="43" fillId="106" borderId="69" applyNumberFormat="0" applyProtection="0">
      <alignment horizontal="left" vertical="center" indent="1"/>
    </xf>
    <xf numFmtId="4" fontId="43" fillId="106" borderId="69" applyNumberFormat="0" applyProtection="0">
      <alignment horizontal="left" vertical="center" indent="1"/>
    </xf>
    <xf numFmtId="4" fontId="43" fillId="106" borderId="69" applyNumberFormat="0" applyProtection="0">
      <alignment horizontal="left" vertical="center" indent="1"/>
    </xf>
    <xf numFmtId="4" fontId="16" fillId="106" borderId="8" applyNumberFormat="0" applyProtection="0">
      <alignment horizontal="left" vertical="center" indent="1"/>
    </xf>
    <xf numFmtId="0" fontId="117" fillId="33" borderId="9" applyNumberFormat="0" applyProtection="0">
      <alignment horizontal="left" vertical="top" indent="1"/>
    </xf>
    <xf numFmtId="0" fontId="14" fillId="107" borderId="8"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16" fillId="108" borderId="8" applyNumberFormat="0" applyProtection="0">
      <alignment horizontal="right" vertical="center"/>
    </xf>
    <xf numFmtId="4" fontId="43" fillId="7" borderId="69" applyNumberFormat="0" applyProtection="0">
      <alignment horizontal="right" vertical="center"/>
    </xf>
    <xf numFmtId="4" fontId="43" fillId="7" borderId="69" applyNumberFormat="0" applyProtection="0">
      <alignment horizontal="right" vertical="center"/>
    </xf>
    <xf numFmtId="4" fontId="43" fillId="7" borderId="69" applyNumberFormat="0" applyProtection="0">
      <alignment horizontal="right" vertical="center"/>
    </xf>
    <xf numFmtId="4" fontId="16" fillId="109" borderId="8" applyNumberFormat="0" applyProtection="0">
      <alignment horizontal="right" vertical="center"/>
    </xf>
    <xf numFmtId="4" fontId="43" fillId="110" borderId="69" applyNumberFormat="0" applyProtection="0">
      <alignment horizontal="right" vertical="center"/>
    </xf>
    <xf numFmtId="4" fontId="43" fillId="110" borderId="69" applyNumberFormat="0" applyProtection="0">
      <alignment horizontal="right" vertical="center"/>
    </xf>
    <xf numFmtId="4" fontId="43" fillId="110" borderId="69" applyNumberFormat="0" applyProtection="0">
      <alignment horizontal="right" vertical="center"/>
    </xf>
    <xf numFmtId="4" fontId="16" fillId="111" borderId="8" applyNumberFormat="0" applyProtection="0">
      <alignment horizontal="right" vertical="center"/>
    </xf>
    <xf numFmtId="4" fontId="43" fillId="34" borderId="83" applyNumberFormat="0" applyProtection="0">
      <alignment horizontal="right" vertical="center"/>
    </xf>
    <xf numFmtId="4" fontId="43" fillId="34" borderId="83" applyNumberFormat="0" applyProtection="0">
      <alignment horizontal="right" vertical="center"/>
    </xf>
    <xf numFmtId="4" fontId="43" fillId="34" borderId="83" applyNumberFormat="0" applyProtection="0">
      <alignment horizontal="right" vertical="center"/>
    </xf>
    <xf numFmtId="4" fontId="16" fillId="112" borderId="8" applyNumberFormat="0" applyProtection="0">
      <alignment horizontal="right" vertical="center"/>
    </xf>
    <xf numFmtId="4" fontId="43" fillId="35" borderId="69" applyNumberFormat="0" applyProtection="0">
      <alignment horizontal="right" vertical="center"/>
    </xf>
    <xf numFmtId="4" fontId="43" fillId="35" borderId="69" applyNumberFormat="0" applyProtection="0">
      <alignment horizontal="right" vertical="center"/>
    </xf>
    <xf numFmtId="4" fontId="43" fillId="35" borderId="69" applyNumberFormat="0" applyProtection="0">
      <alignment horizontal="right" vertical="center"/>
    </xf>
    <xf numFmtId="4" fontId="16" fillId="113" borderId="8" applyNumberFormat="0" applyProtection="0">
      <alignment horizontal="right" vertical="center"/>
    </xf>
    <xf numFmtId="4" fontId="43" fillId="36" borderId="69" applyNumberFormat="0" applyProtection="0">
      <alignment horizontal="right" vertical="center"/>
    </xf>
    <xf numFmtId="4" fontId="43" fillId="36" borderId="69" applyNumberFormat="0" applyProtection="0">
      <alignment horizontal="right" vertical="center"/>
    </xf>
    <xf numFmtId="4" fontId="43" fillId="36" borderId="69" applyNumberFormat="0" applyProtection="0">
      <alignment horizontal="right" vertical="center"/>
    </xf>
    <xf numFmtId="4" fontId="16" fillId="114" borderId="8" applyNumberFormat="0" applyProtection="0">
      <alignment horizontal="right" vertical="center"/>
    </xf>
    <xf numFmtId="4" fontId="43" fillId="37" borderId="69" applyNumberFormat="0" applyProtection="0">
      <alignment horizontal="right" vertical="center"/>
    </xf>
    <xf numFmtId="4" fontId="43" fillId="37" borderId="69" applyNumberFormat="0" applyProtection="0">
      <alignment horizontal="right" vertical="center"/>
    </xf>
    <xf numFmtId="4" fontId="43" fillId="37" borderId="69" applyNumberFormat="0" applyProtection="0">
      <alignment horizontal="right" vertical="center"/>
    </xf>
    <xf numFmtId="4" fontId="16" fillId="115" borderId="8" applyNumberFormat="0" applyProtection="0">
      <alignment horizontal="right" vertical="center"/>
    </xf>
    <xf numFmtId="4" fontId="43" fillId="9" borderId="69" applyNumberFormat="0" applyProtection="0">
      <alignment horizontal="right" vertical="center"/>
    </xf>
    <xf numFmtId="4" fontId="43" fillId="9" borderId="69" applyNumberFormat="0" applyProtection="0">
      <alignment horizontal="right" vertical="center"/>
    </xf>
    <xf numFmtId="4" fontId="43" fillId="9" borderId="69" applyNumberFormat="0" applyProtection="0">
      <alignment horizontal="right" vertical="center"/>
    </xf>
    <xf numFmtId="4" fontId="16" fillId="116" borderId="8" applyNumberFormat="0" applyProtection="0">
      <alignment horizontal="right" vertical="center"/>
    </xf>
    <xf numFmtId="4" fontId="43" fillId="38" borderId="69" applyNumberFormat="0" applyProtection="0">
      <alignment horizontal="right" vertical="center"/>
    </xf>
    <xf numFmtId="4" fontId="43" fillId="38" borderId="69" applyNumberFormat="0" applyProtection="0">
      <alignment horizontal="right" vertical="center"/>
    </xf>
    <xf numFmtId="4" fontId="43" fillId="38" borderId="69" applyNumberFormat="0" applyProtection="0">
      <alignment horizontal="right" vertical="center"/>
    </xf>
    <xf numFmtId="4" fontId="16" fillId="117" borderId="8" applyNumberFormat="0" applyProtection="0">
      <alignment horizontal="right" vertical="center"/>
    </xf>
    <xf numFmtId="4" fontId="43" fillId="39" borderId="69" applyNumberFormat="0" applyProtection="0">
      <alignment horizontal="right" vertical="center"/>
    </xf>
    <xf numFmtId="4" fontId="43" fillId="39" borderId="69" applyNumberFormat="0" applyProtection="0">
      <alignment horizontal="right" vertical="center"/>
    </xf>
    <xf numFmtId="4" fontId="43" fillId="39" borderId="69" applyNumberFormat="0" applyProtection="0">
      <alignment horizontal="right" vertical="center"/>
    </xf>
    <xf numFmtId="4" fontId="35" fillId="118" borderId="8" applyNumberFormat="0" applyProtection="0">
      <alignment horizontal="left" vertical="center" indent="1"/>
    </xf>
    <xf numFmtId="4" fontId="43" fillId="40" borderId="83" applyNumberFormat="0" applyProtection="0">
      <alignment horizontal="left" vertical="center" indent="1"/>
    </xf>
    <xf numFmtId="4" fontId="43" fillId="40" borderId="83" applyNumberFormat="0" applyProtection="0">
      <alignment horizontal="left" vertical="center" indent="1"/>
    </xf>
    <xf numFmtId="4" fontId="43" fillId="40" borderId="83" applyNumberFormat="0" applyProtection="0">
      <alignment horizontal="left" vertical="center" indent="1"/>
    </xf>
    <xf numFmtId="4" fontId="16" fillId="119" borderId="90" applyNumberFormat="0" applyProtection="0">
      <alignment horizontal="left" vertical="center" indent="1"/>
    </xf>
    <xf numFmtId="4" fontId="14" fillId="8" borderId="83" applyNumberFormat="0" applyProtection="0">
      <alignment horizontal="left" vertical="center" indent="1"/>
    </xf>
    <xf numFmtId="4" fontId="37" fillId="120" borderId="0" applyNumberFormat="0" applyProtection="0">
      <alignment horizontal="left" vertical="center" indent="1"/>
    </xf>
    <xf numFmtId="4" fontId="14" fillId="8" borderId="83" applyNumberFormat="0" applyProtection="0">
      <alignment horizontal="left" vertical="center" indent="1"/>
    </xf>
    <xf numFmtId="0" fontId="14" fillId="107" borderId="8" applyNumberFormat="0" applyProtection="0">
      <alignment horizontal="left" vertical="center" indent="1"/>
    </xf>
    <xf numFmtId="4" fontId="43" fillId="2" borderId="69" applyNumberFormat="0" applyProtection="0">
      <alignment horizontal="right" vertical="center"/>
    </xf>
    <xf numFmtId="4" fontId="43" fillId="2" borderId="69" applyNumberFormat="0" applyProtection="0">
      <alignment horizontal="right" vertical="center"/>
    </xf>
    <xf numFmtId="4" fontId="43" fillId="2" borderId="69" applyNumberFormat="0" applyProtection="0">
      <alignment horizontal="right" vertical="center"/>
    </xf>
    <xf numFmtId="4" fontId="16" fillId="119" borderId="8" applyNumberFormat="0" applyProtection="0">
      <alignment horizontal="left" vertical="center" indent="1"/>
    </xf>
    <xf numFmtId="4" fontId="43" fillId="41" borderId="83" applyNumberFormat="0" applyProtection="0">
      <alignment horizontal="left" vertical="center" indent="1"/>
    </xf>
    <xf numFmtId="4" fontId="43" fillId="41" borderId="83" applyNumberFormat="0" applyProtection="0">
      <alignment horizontal="left" vertical="center" indent="1"/>
    </xf>
    <xf numFmtId="4" fontId="43" fillId="41" borderId="83" applyNumberFormat="0" applyProtection="0">
      <alignment horizontal="left" vertical="center" indent="1"/>
    </xf>
    <xf numFmtId="4" fontId="16" fillId="46" borderId="8" applyNumberFormat="0" applyProtection="0">
      <alignment horizontal="left" vertical="center" indent="1"/>
    </xf>
    <xf numFmtId="4" fontId="43" fillId="2" borderId="83" applyNumberFormat="0" applyProtection="0">
      <alignment horizontal="left" vertical="center" indent="1"/>
    </xf>
    <xf numFmtId="4" fontId="43" fillId="2" borderId="83" applyNumberFormat="0" applyProtection="0">
      <alignment horizontal="left" vertical="center" indent="1"/>
    </xf>
    <xf numFmtId="4" fontId="43" fillId="2" borderId="83" applyNumberFormat="0" applyProtection="0">
      <alignment horizontal="left" vertical="center" indent="1"/>
    </xf>
    <xf numFmtId="0" fontId="14" fillId="46" borderId="8" applyNumberFormat="0" applyProtection="0">
      <alignment horizontal="left" vertical="center" indent="1"/>
    </xf>
    <xf numFmtId="0" fontId="43" fillId="10" borderId="69" applyNumberFormat="0" applyProtection="0">
      <alignment horizontal="left" vertical="center" indent="1"/>
    </xf>
    <xf numFmtId="0" fontId="43" fillId="10" borderId="69" applyNumberFormat="0" applyProtection="0">
      <alignment horizontal="left" vertical="center" indent="1"/>
    </xf>
    <xf numFmtId="0" fontId="43" fillId="10" borderId="69" applyNumberFormat="0" applyProtection="0">
      <alignment horizontal="left" vertical="center" indent="1"/>
    </xf>
    <xf numFmtId="0" fontId="14" fillId="46" borderId="8" applyNumberFormat="0" applyProtection="0">
      <alignment horizontal="left" vertical="center" indent="1"/>
    </xf>
    <xf numFmtId="0" fontId="43" fillId="8" borderId="9" applyNumberFormat="0" applyProtection="0">
      <alignment horizontal="left" vertical="top" indent="1"/>
    </xf>
    <xf numFmtId="0" fontId="14" fillId="45" borderId="8" applyNumberFormat="0" applyProtection="0">
      <alignment horizontal="left" vertical="center" indent="1"/>
    </xf>
    <xf numFmtId="0" fontId="43" fillId="121" borderId="69" applyNumberFormat="0" applyProtection="0">
      <alignment horizontal="left" vertical="center" indent="1"/>
    </xf>
    <xf numFmtId="0" fontId="43" fillId="121" borderId="69" applyNumberFormat="0" applyProtection="0">
      <alignment horizontal="left" vertical="center" indent="1"/>
    </xf>
    <xf numFmtId="0" fontId="43" fillId="121" borderId="69" applyNumberFormat="0" applyProtection="0">
      <alignment horizontal="left" vertical="center" indent="1"/>
    </xf>
    <xf numFmtId="0" fontId="14" fillId="45" borderId="8" applyNumberFormat="0" applyProtection="0">
      <alignment horizontal="left" vertical="center" indent="1"/>
    </xf>
    <xf numFmtId="0" fontId="43" fillId="2" borderId="9" applyNumberFormat="0" applyProtection="0">
      <alignment horizontal="left" vertical="top" indent="1"/>
    </xf>
    <xf numFmtId="0" fontId="14" fillId="122" borderId="8" applyNumberFormat="0" applyProtection="0">
      <alignment horizontal="left" vertical="center" indent="1"/>
    </xf>
    <xf numFmtId="0" fontId="43" fillId="6" borderId="69" applyNumberFormat="0" applyProtection="0">
      <alignment horizontal="left" vertical="center" indent="1"/>
    </xf>
    <xf numFmtId="0" fontId="43" fillId="6" borderId="69" applyNumberFormat="0" applyProtection="0">
      <alignment horizontal="left" vertical="center" indent="1"/>
    </xf>
    <xf numFmtId="0" fontId="43" fillId="6" borderId="69" applyNumberFormat="0" applyProtection="0">
      <alignment horizontal="left" vertical="center" indent="1"/>
    </xf>
    <xf numFmtId="0" fontId="14" fillId="122" borderId="8" applyNumberFormat="0" applyProtection="0">
      <alignment horizontal="left" vertical="center" indent="1"/>
    </xf>
    <xf numFmtId="0" fontId="43" fillId="6" borderId="9" applyNumberFormat="0" applyProtection="0">
      <alignment horizontal="left" vertical="top" indent="1"/>
    </xf>
    <xf numFmtId="0" fontId="14" fillId="107" borderId="8" applyNumberFormat="0" applyProtection="0">
      <alignment horizontal="left" vertical="center" indent="1"/>
    </xf>
    <xf numFmtId="0" fontId="43" fillId="41" borderId="69" applyNumberFormat="0" applyProtection="0">
      <alignment horizontal="left" vertical="center" indent="1"/>
    </xf>
    <xf numFmtId="0" fontId="43" fillId="41" borderId="69" applyNumberFormat="0" applyProtection="0">
      <alignment horizontal="left" vertical="center" indent="1"/>
    </xf>
    <xf numFmtId="0" fontId="43" fillId="41" borderId="69" applyNumberFormat="0" applyProtection="0">
      <alignment horizontal="left" vertical="center" indent="1"/>
    </xf>
    <xf numFmtId="0" fontId="14" fillId="107" borderId="8" applyNumberFormat="0" applyProtection="0">
      <alignment horizontal="left" vertical="center" indent="1"/>
    </xf>
    <xf numFmtId="0" fontId="43" fillId="41" borderId="9" applyNumberFormat="0" applyProtection="0">
      <alignment horizontal="left" vertical="top" indent="1"/>
    </xf>
    <xf numFmtId="0" fontId="1" fillId="0" borderId="0"/>
    <xf numFmtId="0" fontId="43" fillId="5" borderId="91" applyNumberForma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8" fillId="8" borderId="92" applyBorder="0"/>
    <xf numFmtId="4" fontId="16" fillId="123" borderId="8" applyNumberFormat="0" applyProtection="0">
      <alignment vertical="center"/>
    </xf>
    <xf numFmtId="4" fontId="119" fillId="4" borderId="9" applyNumberFormat="0" applyProtection="0">
      <alignment vertical="center"/>
    </xf>
    <xf numFmtId="4" fontId="38" fillId="123" borderId="8" applyNumberFormat="0" applyProtection="0">
      <alignment vertical="center"/>
    </xf>
    <xf numFmtId="4" fontId="116" fillId="123" borderId="11" applyNumberFormat="0" applyProtection="0">
      <alignment vertical="center"/>
    </xf>
    <xf numFmtId="4" fontId="16" fillId="123" borderId="8" applyNumberFormat="0" applyProtection="0">
      <alignment horizontal="left" vertical="center" indent="1"/>
    </xf>
    <xf numFmtId="4" fontId="119" fillId="10" borderId="9" applyNumberFormat="0" applyProtection="0">
      <alignment horizontal="left" vertical="center" indent="1"/>
    </xf>
    <xf numFmtId="4" fontId="16" fillId="123" borderId="8" applyNumberFormat="0" applyProtection="0">
      <alignment horizontal="left" vertical="center" indent="1"/>
    </xf>
    <xf numFmtId="0" fontId="119" fillId="4" borderId="9" applyNumberFormat="0" applyProtection="0">
      <alignment horizontal="left" vertical="top" indent="1"/>
    </xf>
    <xf numFmtId="4" fontId="16" fillId="119" borderId="8" applyNumberFormat="0" applyProtection="0">
      <alignment horizontal="right" vertical="center"/>
    </xf>
    <xf numFmtId="4" fontId="16" fillId="119" borderId="8"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38" fillId="119" borderId="8" applyNumberFormat="0" applyProtection="0">
      <alignment horizontal="right" vertical="center"/>
    </xf>
    <xf numFmtId="4" fontId="116" fillId="43" borderId="69" applyNumberFormat="0" applyProtection="0">
      <alignment horizontal="right" vertical="center"/>
    </xf>
    <xf numFmtId="0" fontId="14" fillId="107" borderId="8"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0" fontId="14" fillId="107" borderId="8" applyNumberFormat="0" applyProtection="0">
      <alignment horizontal="left" vertical="center" indent="1"/>
    </xf>
    <xf numFmtId="0" fontId="119" fillId="2" borderId="9" applyNumberFormat="0" applyProtection="0">
      <alignment horizontal="left" vertical="top" indent="1"/>
    </xf>
    <xf numFmtId="0" fontId="120" fillId="0" borderId="0"/>
    <xf numFmtId="4" fontId="121" fillId="42" borderId="83" applyNumberFormat="0" applyProtection="0">
      <alignment horizontal="left" vertical="center" indent="1"/>
    </xf>
    <xf numFmtId="0" fontId="43" fillId="124" borderId="11"/>
    <xf numFmtId="0" fontId="43" fillId="124" borderId="11"/>
    <xf numFmtId="0" fontId="43" fillId="124" borderId="11"/>
    <xf numFmtId="4" fontId="40" fillId="119" borderId="8" applyNumberFormat="0" applyProtection="0">
      <alignment horizontal="right" vertical="center"/>
    </xf>
    <xf numFmtId="4" fontId="122" fillId="5" borderId="69" applyNumberFormat="0" applyProtection="0">
      <alignment horizontal="right" vertical="center"/>
    </xf>
    <xf numFmtId="0" fontId="123" fillId="0" borderId="0" applyNumberFormat="0" applyFill="0" applyBorder="0" applyAlignment="0" applyProtection="0"/>
    <xf numFmtId="0" fontId="25" fillId="0" borderId="12" applyNumberFormat="0" applyFill="0" applyAlignment="0" applyProtection="0"/>
    <xf numFmtId="0" fontId="25" fillId="0" borderId="93" applyNumberFormat="0" applyFill="0" applyAlignment="0" applyProtection="0"/>
    <xf numFmtId="0" fontId="124" fillId="0" borderId="0" applyNumberFormat="0" applyFill="0" applyBorder="0" applyAlignment="0" applyProtection="0"/>
    <xf numFmtId="0" fontId="42" fillId="0" borderId="0" applyNumberFormat="0" applyFill="0" applyBorder="0" applyAlignment="0" applyProtection="0"/>
    <xf numFmtId="0" fontId="125" fillId="0" borderId="0" applyNumberFormat="0" applyFill="0" applyBorder="0" applyAlignment="0" applyProtection="0"/>
    <xf numFmtId="0" fontId="104" fillId="55" borderId="0" applyNumberFormat="0" applyBorder="0" applyAlignment="0" applyProtection="0"/>
    <xf numFmtId="0" fontId="103" fillId="63" borderId="0" applyNumberFormat="0" applyBorder="0" applyAlignment="0" applyProtection="0"/>
    <xf numFmtId="0" fontId="103" fillId="67" borderId="0" applyNumberFormat="0" applyBorder="0" applyAlignment="0" applyProtection="0"/>
    <xf numFmtId="0" fontId="103" fillId="71" borderId="0" applyNumberFormat="0" applyBorder="0" applyAlignment="0" applyProtection="0"/>
    <xf numFmtId="0" fontId="103" fillId="75" borderId="0" applyNumberFormat="0" applyBorder="0" applyAlignment="0" applyProtection="0"/>
    <xf numFmtId="0" fontId="103" fillId="79" borderId="0" applyNumberFormat="0" applyBorder="0" applyAlignment="0" applyProtection="0"/>
    <xf numFmtId="0" fontId="103" fillId="83"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59" borderId="8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0" borderId="0"/>
    <xf numFmtId="9" fontId="1" fillId="0" borderId="0" applyFont="0" applyFill="0" applyBorder="0" applyAlignment="0" applyProtection="0"/>
    <xf numFmtId="0" fontId="21" fillId="84" borderId="0" applyNumberFormat="0" applyBorder="0" applyAlignment="0" applyProtection="0"/>
    <xf numFmtId="0" fontId="21" fillId="7" borderId="0" applyNumberFormat="0" applyBorder="0" applyAlignment="0" applyProtection="0"/>
    <xf numFmtId="0" fontId="21" fillId="85" borderId="0" applyNumberFormat="0" applyBorder="0" applyAlignment="0" applyProtection="0"/>
    <xf numFmtId="0" fontId="21" fillId="86" borderId="0" applyNumberFormat="0" applyBorder="0" applyAlignment="0" applyProtection="0"/>
    <xf numFmtId="0" fontId="21" fillId="87" borderId="0" applyNumberFormat="0" applyBorder="0" applyAlignment="0" applyProtection="0"/>
    <xf numFmtId="0" fontId="21" fillId="11" borderId="0" applyNumberFormat="0" applyBorder="0" applyAlignment="0" applyProtection="0"/>
    <xf numFmtId="0" fontId="14" fillId="0" borderId="0"/>
    <xf numFmtId="0" fontId="21" fillId="6" borderId="0" applyNumberFormat="0" applyBorder="0" applyAlignment="0" applyProtection="0"/>
    <xf numFmtId="0" fontId="21" fillId="3" borderId="0" applyNumberFormat="0" applyBorder="0" applyAlignment="0" applyProtection="0"/>
    <xf numFmtId="0" fontId="21" fillId="39" borderId="0" applyNumberFormat="0" applyBorder="0" applyAlignment="0" applyProtection="0"/>
    <xf numFmtId="0" fontId="21" fillId="86" borderId="0" applyNumberFormat="0" applyBorder="0" applyAlignment="0" applyProtection="0"/>
    <xf numFmtId="0" fontId="21" fillId="6" borderId="0" applyNumberFormat="0" applyBorder="0" applyAlignment="0" applyProtection="0"/>
    <xf numFmtId="0" fontId="21" fillId="35" borderId="0" applyNumberFormat="0" applyBorder="0" applyAlignment="0" applyProtection="0"/>
    <xf numFmtId="0" fontId="1" fillId="0" borderId="0"/>
    <xf numFmtId="0" fontId="14"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09" fillId="0" borderId="0"/>
    <xf numFmtId="0" fontId="16" fillId="4" borderId="7" applyNumberFormat="0" applyFont="0" applyAlignment="0" applyProtection="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1" fillId="0" borderId="0" applyFont="0" applyFill="0" applyBorder="0" applyAlignment="0" applyProtection="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 fillId="0" borderId="0"/>
    <xf numFmtId="0" fontId="1" fillId="0" borderId="0"/>
    <xf numFmtId="0" fontId="1" fillId="0" borderId="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59" borderId="8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4" fillId="0" borderId="0"/>
    <xf numFmtId="43" fontId="1" fillId="0" borderId="0" applyFont="0" applyFill="0" applyBorder="0" applyAlignment="0" applyProtection="0"/>
    <xf numFmtId="4" fontId="43" fillId="0" borderId="69" applyNumberFormat="0" applyProtection="0">
      <alignment horizontal="right" vertical="center"/>
    </xf>
    <xf numFmtId="4" fontId="16" fillId="123" borderId="8" applyNumberFormat="0" applyProtection="0">
      <alignment vertical="center"/>
    </xf>
    <xf numFmtId="4" fontId="43" fillId="34" borderId="83" applyNumberFormat="0" applyProtection="0">
      <alignment horizontal="right" vertical="center"/>
    </xf>
    <xf numFmtId="4" fontId="43" fillId="40" borderId="83" applyNumberFormat="0" applyProtection="0">
      <alignment horizontal="left" vertical="center" indent="1"/>
    </xf>
    <xf numFmtId="4" fontId="43" fillId="37" borderId="69" applyNumberFormat="0" applyProtection="0">
      <alignment horizontal="right" vertical="center"/>
    </xf>
    <xf numFmtId="4" fontId="38" fillId="106" borderId="8" applyNumberFormat="0" applyProtection="0">
      <alignment vertical="center"/>
    </xf>
    <xf numFmtId="0" fontId="14" fillId="107" borderId="8" applyNumberFormat="0" applyProtection="0">
      <alignment horizontal="left" vertical="center" indent="1"/>
    </xf>
    <xf numFmtId="4" fontId="43" fillId="37" borderId="69" applyNumberFormat="0" applyProtection="0">
      <alignment horizontal="right" vertical="center"/>
    </xf>
    <xf numFmtId="4" fontId="43" fillId="0" borderId="69" applyNumberFormat="0" applyProtection="0">
      <alignment horizontal="right" vertical="center"/>
    </xf>
    <xf numFmtId="0" fontId="43" fillId="41" borderId="69" applyNumberFormat="0" applyProtection="0">
      <alignment horizontal="left" vertical="center" indent="1"/>
    </xf>
    <xf numFmtId="0" fontId="14" fillId="46" borderId="8" applyNumberFormat="0" applyProtection="0">
      <alignment horizontal="left" vertical="center" indent="1"/>
    </xf>
    <xf numFmtId="4" fontId="16" fillId="106" borderId="8" applyNumberFormat="0" applyProtection="0">
      <alignment horizontal="left" vertical="center" indent="1"/>
    </xf>
    <xf numFmtId="4" fontId="16" fillId="119" borderId="90" applyNumberFormat="0" applyProtection="0">
      <alignment horizontal="left" vertical="center" indent="1"/>
    </xf>
    <xf numFmtId="0" fontId="43" fillId="10" borderId="69" applyNumberFormat="0" applyProtection="0">
      <alignment horizontal="left" vertical="center" indent="1"/>
    </xf>
    <xf numFmtId="4" fontId="43" fillId="35" borderId="69" applyNumberFormat="0" applyProtection="0">
      <alignment horizontal="right" vertical="center"/>
    </xf>
    <xf numFmtId="0" fontId="117" fillId="33" borderId="9" applyNumberFormat="0" applyProtection="0">
      <alignment horizontal="left" vertical="top" indent="1"/>
    </xf>
    <xf numFmtId="0" fontId="118" fillId="8" borderId="92" applyBorder="0"/>
    <xf numFmtId="0" fontId="43" fillId="121" borderId="69" applyNumberFormat="0" applyProtection="0">
      <alignment horizontal="left" vertical="center" indent="1"/>
    </xf>
    <xf numFmtId="0" fontId="43" fillId="41" borderId="9" applyNumberFormat="0" applyProtection="0">
      <alignment horizontal="left" vertical="top" indent="1"/>
    </xf>
    <xf numFmtId="4" fontId="43" fillId="39" borderId="69" applyNumberFormat="0" applyProtection="0">
      <alignment horizontal="right" vertical="center"/>
    </xf>
    <xf numFmtId="4" fontId="43" fillId="35" borderId="69" applyNumberFormat="0" applyProtection="0">
      <alignment horizontal="right" vertical="center"/>
    </xf>
    <xf numFmtId="0" fontId="43" fillId="10" borderId="69" applyNumberFormat="0" applyProtection="0">
      <alignment horizontal="left" vertical="center" indent="1"/>
    </xf>
    <xf numFmtId="4" fontId="16" fillId="113" borderId="8" applyNumberFormat="0" applyProtection="0">
      <alignment horizontal="right" vertical="center"/>
    </xf>
    <xf numFmtId="0" fontId="43" fillId="10" borderId="69" applyNumberFormat="0" applyProtection="0">
      <alignment horizontal="left" vertical="center" indent="1"/>
    </xf>
    <xf numFmtId="4" fontId="122" fillId="5" borderId="69" applyNumberFormat="0" applyProtection="0">
      <alignment horizontal="right" vertical="center"/>
    </xf>
    <xf numFmtId="4" fontId="16" fillId="117" borderId="8" applyNumberFormat="0" applyProtection="0">
      <alignment horizontal="right" vertical="center"/>
    </xf>
    <xf numFmtId="4" fontId="43" fillId="33" borderId="69" applyNumberFormat="0" applyProtection="0">
      <alignment vertical="center"/>
    </xf>
    <xf numFmtId="4" fontId="43" fillId="37" borderId="69" applyNumberFormat="0" applyProtection="0">
      <alignment horizontal="right" vertical="center"/>
    </xf>
    <xf numFmtId="0" fontId="43" fillId="121" borderId="69" applyNumberFormat="0" applyProtection="0">
      <alignment horizontal="left" vertical="center" indent="1"/>
    </xf>
    <xf numFmtId="4" fontId="16" fillId="46" borderId="8" applyNumberFormat="0" applyProtection="0">
      <alignment horizontal="left" vertical="center" indent="1"/>
    </xf>
    <xf numFmtId="4" fontId="43" fillId="37" borderId="69" applyNumberFormat="0" applyProtection="0">
      <alignment horizontal="right" vertical="center"/>
    </xf>
    <xf numFmtId="4" fontId="35" fillId="118" borderId="8" applyNumberFormat="0" applyProtection="0">
      <alignment horizontal="left" vertical="center" indent="1"/>
    </xf>
    <xf numFmtId="4" fontId="43" fillId="9" borderId="69" applyNumberFormat="0" applyProtection="0">
      <alignment horizontal="right" vertical="center"/>
    </xf>
    <xf numFmtId="0" fontId="43" fillId="6" borderId="69" applyNumberFormat="0" applyProtection="0">
      <alignment horizontal="left" vertical="center" indent="1"/>
    </xf>
    <xf numFmtId="0" fontId="119" fillId="4" borderId="9" applyNumberFormat="0" applyProtection="0">
      <alignment horizontal="left" vertical="top" indent="1"/>
    </xf>
    <xf numFmtId="4" fontId="43" fillId="41" borderId="83" applyNumberFormat="0" applyProtection="0">
      <alignment horizontal="left" vertical="center" indent="1"/>
    </xf>
    <xf numFmtId="0" fontId="43" fillId="124" borderId="94"/>
    <xf numFmtId="4" fontId="43" fillId="51" borderId="69" applyNumberFormat="0" applyProtection="0">
      <alignment horizontal="left" vertical="center" indent="1"/>
    </xf>
    <xf numFmtId="0" fontId="34" fillId="10" borderId="8" applyNumberFormat="0" applyAlignment="0" applyProtection="0"/>
    <xf numFmtId="0" fontId="16" fillId="4" borderId="7" applyNumberFormat="0" applyFont="0" applyAlignment="0" applyProtection="0"/>
    <xf numFmtId="4" fontId="16" fillId="112" borderId="8" applyNumberFormat="0" applyProtection="0">
      <alignment horizontal="right" vertical="center"/>
    </xf>
    <xf numFmtId="0" fontId="14" fillId="45" borderId="8" applyNumberFormat="0" applyProtection="0">
      <alignment horizontal="left" vertical="center" indent="1"/>
    </xf>
    <xf numFmtId="0" fontId="14" fillId="46" borderId="8" applyNumberFormat="0" applyProtection="0">
      <alignment horizontal="left" vertical="center" indent="1"/>
    </xf>
    <xf numFmtId="4" fontId="43" fillId="38" borderId="69" applyNumberFormat="0" applyProtection="0">
      <alignment horizontal="right" vertical="center"/>
    </xf>
    <xf numFmtId="4" fontId="16" fillId="108" borderId="8" applyNumberFormat="0" applyProtection="0">
      <alignment horizontal="right" vertical="center"/>
    </xf>
    <xf numFmtId="4" fontId="43" fillId="51" borderId="69" applyNumberFormat="0" applyProtection="0">
      <alignment horizontal="left" vertical="center" indent="1"/>
    </xf>
    <xf numFmtId="0" fontId="43" fillId="41" borderId="69" applyNumberFormat="0" applyProtection="0">
      <alignment horizontal="left" vertical="center" indent="1"/>
    </xf>
    <xf numFmtId="4" fontId="43" fillId="2" borderId="69" applyNumberFormat="0" applyProtection="0">
      <alignment horizontal="right" vertical="center"/>
    </xf>
    <xf numFmtId="0" fontId="14" fillId="107" borderId="8" applyNumberFormat="0" applyProtection="0">
      <alignment horizontal="left" vertical="center" indent="1"/>
    </xf>
    <xf numFmtId="4" fontId="16" fillId="109" borderId="8" applyNumberFormat="0" applyProtection="0">
      <alignment horizontal="right" vertical="center"/>
    </xf>
    <xf numFmtId="0" fontId="43" fillId="6" borderId="69" applyNumberFormat="0" applyProtection="0">
      <alignment horizontal="left" vertical="center" indent="1"/>
    </xf>
    <xf numFmtId="4" fontId="43" fillId="51" borderId="69" applyNumberFormat="0" applyProtection="0">
      <alignment horizontal="left" vertical="center" indent="1"/>
    </xf>
    <xf numFmtId="4" fontId="43" fillId="41" borderId="83" applyNumberFormat="0" applyProtection="0">
      <alignment horizontal="left" vertical="center" indent="1"/>
    </xf>
    <xf numFmtId="0" fontId="14" fillId="107" borderId="8" applyNumberFormat="0" applyProtection="0">
      <alignment horizontal="left" vertical="center" indent="1"/>
    </xf>
    <xf numFmtId="4" fontId="16" fillId="119" borderId="8" applyNumberFormat="0" applyProtection="0">
      <alignment horizontal="right" vertical="center"/>
    </xf>
    <xf numFmtId="4" fontId="38" fillId="106" borderId="8" applyNumberFormat="0" applyProtection="0">
      <alignment vertical="center"/>
    </xf>
    <xf numFmtId="4" fontId="16" fillId="119" borderId="8" applyNumberFormat="0" applyProtection="0">
      <alignment horizontal="right" vertical="center"/>
    </xf>
    <xf numFmtId="4" fontId="43" fillId="40" borderId="83" applyNumberFormat="0" applyProtection="0">
      <alignment horizontal="left" vertical="center" indent="1"/>
    </xf>
    <xf numFmtId="0" fontId="43" fillId="2" borderId="9" applyNumberFormat="0" applyProtection="0">
      <alignment horizontal="left" vertical="top" indent="1"/>
    </xf>
    <xf numFmtId="4" fontId="43" fillId="33" borderId="69" applyNumberFormat="0" applyProtection="0">
      <alignment vertical="center"/>
    </xf>
    <xf numFmtId="4" fontId="116" fillId="123" borderId="94" applyNumberFormat="0" applyProtection="0">
      <alignment vertical="center"/>
    </xf>
    <xf numFmtId="0" fontId="119" fillId="2" borderId="9" applyNumberFormat="0" applyProtection="0">
      <alignment horizontal="left" vertical="top" indent="1"/>
    </xf>
    <xf numFmtId="4" fontId="43" fillId="37" borderId="69" applyNumberFormat="0" applyProtection="0">
      <alignment horizontal="right" vertical="center"/>
    </xf>
    <xf numFmtId="0" fontId="107" fillId="101" borderId="69" applyNumberFormat="0" applyAlignment="0" applyProtection="0"/>
    <xf numFmtId="4" fontId="43" fillId="51" borderId="69" applyNumberFormat="0" applyProtection="0">
      <alignment horizontal="left" vertical="center" indent="1"/>
    </xf>
    <xf numFmtId="4" fontId="38" fillId="123" borderId="8" applyNumberFormat="0" applyProtection="0">
      <alignment vertical="center"/>
    </xf>
    <xf numFmtId="4" fontId="43" fillId="33" borderId="69" applyNumberFormat="0" applyProtection="0">
      <alignment vertical="center"/>
    </xf>
    <xf numFmtId="0" fontId="14" fillId="107" borderId="8" applyNumberFormat="0" applyProtection="0">
      <alignment horizontal="left" vertical="center" indent="1"/>
    </xf>
    <xf numFmtId="4" fontId="43" fillId="40" borderId="83" applyNumberFormat="0" applyProtection="0">
      <alignment horizontal="left" vertical="center" indent="1"/>
    </xf>
    <xf numFmtId="4" fontId="16" fillId="119" borderId="8" applyNumberFormat="0" applyProtection="0">
      <alignment horizontal="right" vertical="center"/>
    </xf>
    <xf numFmtId="0" fontId="14" fillId="107" borderId="8" applyNumberFormat="0" applyProtection="0">
      <alignment horizontal="left" vertical="center" indent="1"/>
    </xf>
    <xf numFmtId="4" fontId="43" fillId="39" borderId="69" applyNumberFormat="0" applyProtection="0">
      <alignment horizontal="right" vertical="center"/>
    </xf>
    <xf numFmtId="0" fontId="31" fillId="27" borderId="69" applyNumberFormat="0" applyAlignment="0" applyProtection="0"/>
    <xf numFmtId="4" fontId="16" fillId="112" borderId="8" applyNumberFormat="0" applyProtection="0">
      <alignment horizontal="right" vertical="center"/>
    </xf>
    <xf numFmtId="4" fontId="43" fillId="38" borderId="69" applyNumberFormat="0" applyProtection="0">
      <alignment horizontal="right" vertical="center"/>
    </xf>
    <xf numFmtId="4" fontId="43" fillId="106" borderId="69" applyNumberFormat="0" applyProtection="0">
      <alignment horizontal="left" vertical="center" indent="1"/>
    </xf>
    <xf numFmtId="4" fontId="43" fillId="36" borderId="69" applyNumberFormat="0" applyProtection="0">
      <alignment horizontal="right" vertical="center"/>
    </xf>
    <xf numFmtId="4" fontId="43" fillId="41" borderId="83" applyNumberFormat="0" applyProtection="0">
      <alignment horizontal="left" vertical="center" indent="1"/>
    </xf>
    <xf numFmtId="4" fontId="43" fillId="110" borderId="69" applyNumberFormat="0" applyProtection="0">
      <alignment horizontal="right" vertical="center"/>
    </xf>
    <xf numFmtId="4" fontId="43" fillId="2" borderId="83" applyNumberFormat="0" applyProtection="0">
      <alignment horizontal="left" vertical="center" indent="1"/>
    </xf>
    <xf numFmtId="4" fontId="43" fillId="39" borderId="69" applyNumberFormat="0" applyProtection="0">
      <alignment horizontal="right" vertical="center"/>
    </xf>
    <xf numFmtId="4" fontId="43" fillId="41" borderId="83" applyNumberFormat="0" applyProtection="0">
      <alignment horizontal="left" vertical="center" indent="1"/>
    </xf>
    <xf numFmtId="4" fontId="16" fillId="106" borderId="8" applyNumberFormat="0" applyProtection="0">
      <alignment horizontal="left" vertical="center" indent="1"/>
    </xf>
    <xf numFmtId="4" fontId="16" fillId="115" borderId="8" applyNumberFormat="0" applyProtection="0">
      <alignment horizontal="right" vertical="center"/>
    </xf>
    <xf numFmtId="4" fontId="16" fillId="106" borderId="8" applyNumberFormat="0" applyProtection="0">
      <alignment horizontal="left" vertical="center" indent="1"/>
    </xf>
    <xf numFmtId="4" fontId="43" fillId="38" borderId="69" applyNumberFormat="0" applyProtection="0">
      <alignment horizontal="right" vertical="center"/>
    </xf>
    <xf numFmtId="4" fontId="43" fillId="2" borderId="83" applyNumberFormat="0" applyProtection="0">
      <alignment horizontal="left" vertical="center" indent="1"/>
    </xf>
    <xf numFmtId="4" fontId="43" fillId="35" borderId="69" applyNumberFormat="0" applyProtection="0">
      <alignment horizontal="right" vertical="center"/>
    </xf>
    <xf numFmtId="0" fontId="43" fillId="2" borderId="9" applyNumberFormat="0" applyProtection="0">
      <alignment horizontal="left" vertical="top" indent="1"/>
    </xf>
    <xf numFmtId="4" fontId="43" fillId="7" borderId="69" applyNumberFormat="0" applyProtection="0">
      <alignment horizontal="right" vertical="center"/>
    </xf>
    <xf numFmtId="0" fontId="34" fillId="10" borderId="8" applyNumberFormat="0" applyAlignment="0" applyProtection="0"/>
    <xf numFmtId="4" fontId="43" fillId="51" borderId="69" applyNumberFormat="0" applyProtection="0">
      <alignment horizontal="left" vertical="center" indent="1"/>
    </xf>
    <xf numFmtId="4" fontId="43" fillId="40" borderId="83" applyNumberFormat="0" applyProtection="0">
      <alignment horizontal="left" vertical="center" indent="1"/>
    </xf>
    <xf numFmtId="0" fontId="43" fillId="41" borderId="9" applyNumberFormat="0" applyProtection="0">
      <alignment horizontal="left" vertical="top" indent="1"/>
    </xf>
    <xf numFmtId="4" fontId="43" fillId="37" borderId="69" applyNumberFormat="0" applyProtection="0">
      <alignment horizontal="right" vertical="center"/>
    </xf>
    <xf numFmtId="0" fontId="14" fillId="122" borderId="8" applyNumberFormat="0" applyProtection="0">
      <alignment horizontal="left" vertical="center" indent="1"/>
    </xf>
    <xf numFmtId="0" fontId="34" fillId="101" borderId="8" applyNumberFormat="0" applyAlignment="0" applyProtection="0"/>
    <xf numFmtId="0" fontId="108" fillId="10" borderId="1" applyNumberFormat="0" applyAlignment="0" applyProtection="0"/>
    <xf numFmtId="4" fontId="16" fillId="123" borderId="8" applyNumberFormat="0" applyProtection="0">
      <alignment horizontal="left" vertical="center" indent="1"/>
    </xf>
    <xf numFmtId="4" fontId="43" fillId="34" borderId="83" applyNumberFormat="0" applyProtection="0">
      <alignment horizontal="right" vertical="center"/>
    </xf>
    <xf numFmtId="4" fontId="16" fillId="46" borderId="8" applyNumberFormat="0" applyProtection="0">
      <alignment horizontal="left" vertical="center" indent="1"/>
    </xf>
    <xf numFmtId="4" fontId="119" fillId="10" borderId="9" applyNumberFormat="0" applyProtection="0">
      <alignment horizontal="left" vertical="center" indent="1"/>
    </xf>
    <xf numFmtId="4" fontId="43" fillId="41" borderId="83" applyNumberFormat="0" applyProtection="0">
      <alignment horizontal="left" vertical="center" indent="1"/>
    </xf>
    <xf numFmtId="0" fontId="43" fillId="41" borderId="69" applyNumberFormat="0" applyProtection="0">
      <alignment horizontal="left" vertical="center" indent="1"/>
    </xf>
    <xf numFmtId="4" fontId="121" fillId="42" borderId="83" applyNumberFormat="0" applyProtection="0">
      <alignment horizontal="left" vertical="center" indent="1"/>
    </xf>
    <xf numFmtId="4" fontId="43" fillId="51" borderId="69" applyNumberFormat="0" applyProtection="0">
      <alignment horizontal="left" vertical="center" indent="1"/>
    </xf>
    <xf numFmtId="0" fontId="14" fillId="107" borderId="8" applyNumberFormat="0" applyProtection="0">
      <alignment horizontal="left" vertical="center" indent="1"/>
    </xf>
    <xf numFmtId="0" fontId="43" fillId="124" borderId="94"/>
    <xf numFmtId="0" fontId="43" fillId="6" borderId="69" applyNumberFormat="0" applyProtection="0">
      <alignment horizontal="left" vertical="center" indent="1"/>
    </xf>
    <xf numFmtId="0" fontId="14" fillId="107" borderId="8" applyNumberFormat="0" applyProtection="0">
      <alignment horizontal="left" vertical="center" indent="1"/>
    </xf>
    <xf numFmtId="4" fontId="43" fillId="38" borderId="69" applyNumberFormat="0" applyProtection="0">
      <alignment horizontal="right" vertical="center"/>
    </xf>
    <xf numFmtId="4" fontId="43" fillId="2" borderId="69" applyNumberFormat="0" applyProtection="0">
      <alignment horizontal="right" vertical="center"/>
    </xf>
    <xf numFmtId="4" fontId="16" fillId="111" borderId="8" applyNumberFormat="0" applyProtection="0">
      <alignment horizontal="right" vertical="center"/>
    </xf>
    <xf numFmtId="4" fontId="43" fillId="35" borderId="69" applyNumberFormat="0" applyProtection="0">
      <alignment horizontal="right" vertical="center"/>
    </xf>
    <xf numFmtId="4" fontId="16" fillId="119" borderId="8" applyNumberFormat="0" applyProtection="0">
      <alignment horizontal="left" vertical="center" indent="1"/>
    </xf>
    <xf numFmtId="4" fontId="16" fillId="119" borderId="8" applyNumberFormat="0" applyProtection="0">
      <alignment horizontal="right" vertical="center"/>
    </xf>
    <xf numFmtId="0" fontId="16" fillId="4" borderId="7" applyNumberFormat="0" applyFont="0" applyAlignment="0" applyProtection="0"/>
    <xf numFmtId="0" fontId="43" fillId="6" borderId="9" applyNumberFormat="0" applyProtection="0">
      <alignment horizontal="left" vertical="top" indent="1"/>
    </xf>
    <xf numFmtId="0" fontId="25" fillId="0" borderId="93" applyNumberFormat="0" applyFill="0" applyAlignment="0" applyProtection="0"/>
    <xf numFmtId="0" fontId="43" fillId="10" borderId="69" applyNumberFormat="0" applyProtection="0">
      <alignment horizontal="left" vertical="center" indent="1"/>
    </xf>
    <xf numFmtId="4" fontId="16" fillId="117" borderId="8" applyNumberFormat="0" applyProtection="0">
      <alignment horizontal="right" vertical="center"/>
    </xf>
    <xf numFmtId="4" fontId="16" fillId="123" borderId="8" applyNumberFormat="0" applyProtection="0">
      <alignment vertical="center"/>
    </xf>
    <xf numFmtId="4" fontId="43" fillId="51" borderId="69" applyNumberFormat="0" applyProtection="0">
      <alignment horizontal="left" vertical="center" indent="1"/>
    </xf>
    <xf numFmtId="0" fontId="14" fillId="122" borderId="8" applyNumberFormat="0" applyProtection="0">
      <alignment horizontal="left" vertical="center" indent="1"/>
    </xf>
    <xf numFmtId="4" fontId="43" fillId="9" borderId="69" applyNumberFormat="0" applyProtection="0">
      <alignment horizontal="right" vertical="center"/>
    </xf>
    <xf numFmtId="4" fontId="16" fillId="114" borderId="8" applyNumberFormat="0" applyProtection="0">
      <alignment horizontal="right" vertical="center"/>
    </xf>
    <xf numFmtId="4" fontId="43" fillId="36" borderId="69" applyNumberFormat="0" applyProtection="0">
      <alignment horizontal="right" vertical="center"/>
    </xf>
    <xf numFmtId="4" fontId="43" fillId="34" borderId="83" applyNumberFormat="0" applyProtection="0">
      <alignment horizontal="right" vertical="center"/>
    </xf>
    <xf numFmtId="0" fontId="25" fillId="0" borderId="12" applyNumberFormat="0" applyFill="0" applyAlignment="0" applyProtection="0"/>
    <xf numFmtId="4" fontId="43" fillId="7" borderId="69" applyNumberFormat="0" applyProtection="0">
      <alignment horizontal="right" vertical="center"/>
    </xf>
    <xf numFmtId="4" fontId="43" fillId="40" borderId="83" applyNumberFormat="0" applyProtection="0">
      <alignment horizontal="left" vertical="center" indent="1"/>
    </xf>
    <xf numFmtId="4" fontId="43" fillId="110" borderId="69" applyNumberFormat="0" applyProtection="0">
      <alignment horizontal="right" vertical="center"/>
    </xf>
    <xf numFmtId="4" fontId="43" fillId="7" borderId="69" applyNumberFormat="0" applyProtection="0">
      <alignment horizontal="right" vertical="center"/>
    </xf>
    <xf numFmtId="4" fontId="43" fillId="51" borderId="69" applyNumberFormat="0" applyProtection="0">
      <alignment horizontal="left" vertical="center" indent="1"/>
    </xf>
    <xf numFmtId="4" fontId="43" fillId="110" borderId="69" applyNumberFormat="0" applyProtection="0">
      <alignment horizontal="right" vertical="center"/>
    </xf>
    <xf numFmtId="0" fontId="43" fillId="121" borderId="69" applyNumberFormat="0" applyProtection="0">
      <alignment horizontal="left" vertical="center" indent="1"/>
    </xf>
    <xf numFmtId="4" fontId="43" fillId="51" borderId="69" applyNumberFormat="0" applyProtection="0">
      <alignment horizontal="left" vertical="center" indent="1"/>
    </xf>
    <xf numFmtId="4" fontId="43" fillId="36" borderId="69" applyNumberFormat="0" applyProtection="0">
      <alignment horizontal="right" vertical="center"/>
    </xf>
    <xf numFmtId="4" fontId="43" fillId="2" borderId="69" applyNumberFormat="0" applyProtection="0">
      <alignment horizontal="right" vertical="center"/>
    </xf>
    <xf numFmtId="4" fontId="43" fillId="51" borderId="69" applyNumberFormat="0" applyProtection="0">
      <alignment horizontal="left" vertical="center" indent="1"/>
    </xf>
    <xf numFmtId="0" fontId="119" fillId="4" borderId="9" applyNumberFormat="0" applyProtection="0">
      <alignment horizontal="left" vertical="top" indent="1"/>
    </xf>
    <xf numFmtId="0" fontId="14" fillId="107" borderId="8" applyNumberFormat="0" applyProtection="0">
      <alignment horizontal="left" vertical="center" indent="1"/>
    </xf>
    <xf numFmtId="4" fontId="43" fillId="36" borderId="69" applyNumberFormat="0" applyProtection="0">
      <alignment horizontal="right" vertical="center"/>
    </xf>
    <xf numFmtId="4" fontId="43" fillId="35" borderId="69" applyNumberFormat="0" applyProtection="0">
      <alignment horizontal="right" vertical="center"/>
    </xf>
    <xf numFmtId="0" fontId="43" fillId="121" borderId="69" applyNumberFormat="0" applyProtection="0">
      <alignment horizontal="left" vertical="center" indent="1"/>
    </xf>
    <xf numFmtId="0" fontId="43" fillId="6" borderId="69" applyNumberFormat="0" applyProtection="0">
      <alignment horizontal="left" vertical="center" indent="1"/>
    </xf>
    <xf numFmtId="4" fontId="116" fillId="106" borderId="69" applyNumberFormat="0" applyProtection="0">
      <alignment vertical="center"/>
    </xf>
    <xf numFmtId="4" fontId="43" fillId="33" borderId="69" applyNumberFormat="0" applyProtection="0">
      <alignment vertical="center"/>
    </xf>
    <xf numFmtId="4" fontId="116" fillId="106" borderId="69" applyNumberFormat="0" applyProtection="0">
      <alignment vertical="center"/>
    </xf>
    <xf numFmtId="0" fontId="14" fillId="46" borderId="8" applyNumberFormat="0" applyProtection="0">
      <alignment horizontal="left" vertical="center" indent="1"/>
    </xf>
    <xf numFmtId="4" fontId="43" fillId="34" borderId="83" applyNumberFormat="0" applyProtection="0">
      <alignment horizontal="right" vertical="center"/>
    </xf>
    <xf numFmtId="4" fontId="43" fillId="106" borderId="69" applyNumberFormat="0" applyProtection="0">
      <alignment horizontal="left" vertical="center" indent="1"/>
    </xf>
    <xf numFmtId="4" fontId="14" fillId="8" borderId="83" applyNumberFormat="0" applyProtection="0">
      <alignment horizontal="left" vertical="center" indent="1"/>
    </xf>
    <xf numFmtId="0" fontId="43" fillId="6" borderId="69" applyNumberFormat="0" applyProtection="0">
      <alignment horizontal="left" vertical="center" indent="1"/>
    </xf>
    <xf numFmtId="4" fontId="14" fillId="8" borderId="83" applyNumberFormat="0" applyProtection="0">
      <alignment horizontal="left" vertical="center" indent="1"/>
    </xf>
    <xf numFmtId="0" fontId="14" fillId="46" borderId="8" applyNumberFormat="0" applyProtection="0">
      <alignment horizontal="left" vertical="center" indent="1"/>
    </xf>
    <xf numFmtId="0" fontId="14" fillId="107" borderId="8" applyNumberFormat="0" applyProtection="0">
      <alignment horizontal="left" vertical="center" indent="1"/>
    </xf>
    <xf numFmtId="4" fontId="16" fillId="106" borderId="8" applyNumberFormat="0" applyProtection="0">
      <alignment vertical="center"/>
    </xf>
    <xf numFmtId="4" fontId="43" fillId="36" borderId="69" applyNumberFormat="0" applyProtection="0">
      <alignment horizontal="right" vertical="center"/>
    </xf>
    <xf numFmtId="4" fontId="14" fillId="8" borderId="83" applyNumberFormat="0" applyProtection="0">
      <alignment horizontal="left" vertical="center" indent="1"/>
    </xf>
    <xf numFmtId="4" fontId="35" fillId="118" borderId="8" applyNumberFormat="0" applyProtection="0">
      <alignment horizontal="left" vertical="center" indent="1"/>
    </xf>
    <xf numFmtId="4" fontId="16" fillId="116" borderId="8" applyNumberFormat="0" applyProtection="0">
      <alignment horizontal="right" vertical="center"/>
    </xf>
    <xf numFmtId="4" fontId="16" fillId="106" borderId="8" applyNumberFormat="0" applyProtection="0">
      <alignment vertical="center"/>
    </xf>
    <xf numFmtId="4" fontId="38" fillId="123" borderId="8" applyNumberFormat="0" applyProtection="0">
      <alignment vertical="center"/>
    </xf>
    <xf numFmtId="4" fontId="38" fillId="119" borderId="8" applyNumberFormat="0" applyProtection="0">
      <alignment horizontal="right" vertical="center"/>
    </xf>
    <xf numFmtId="4" fontId="16" fillId="114" borderId="8" applyNumberFormat="0" applyProtection="0">
      <alignment horizontal="right" vertical="center"/>
    </xf>
    <xf numFmtId="0" fontId="16" fillId="4" borderId="7" applyNumberFormat="0" applyFont="0" applyAlignment="0" applyProtection="0"/>
    <xf numFmtId="4" fontId="16" fillId="108" borderId="8" applyNumberFormat="0" applyProtection="0">
      <alignment horizontal="right" vertical="center"/>
    </xf>
    <xf numFmtId="4" fontId="43" fillId="9" borderId="69" applyNumberFormat="0" applyProtection="0">
      <alignment horizontal="right" vertical="center"/>
    </xf>
    <xf numFmtId="4" fontId="122" fillId="5" borderId="69" applyNumberFormat="0" applyProtection="0">
      <alignment horizontal="right" vertical="center"/>
    </xf>
    <xf numFmtId="0" fontId="14" fillId="122" borderId="8" applyNumberFormat="0" applyProtection="0">
      <alignment horizontal="left" vertical="center" indent="1"/>
    </xf>
    <xf numFmtId="0" fontId="43" fillId="41" borderId="69" applyNumberFormat="0" applyProtection="0">
      <alignment horizontal="left" vertical="center" indent="1"/>
    </xf>
    <xf numFmtId="0" fontId="43" fillId="121" borderId="69" applyNumberFormat="0" applyProtection="0">
      <alignment horizontal="left" vertical="center" indent="1"/>
    </xf>
    <xf numFmtId="4" fontId="43" fillId="34" borderId="83" applyNumberFormat="0" applyProtection="0">
      <alignment horizontal="right" vertical="center"/>
    </xf>
    <xf numFmtId="4" fontId="43" fillId="106" borderId="69" applyNumberFormat="0" applyProtection="0">
      <alignment horizontal="left" vertical="center" indent="1"/>
    </xf>
    <xf numFmtId="0" fontId="43" fillId="8" borderId="9" applyNumberFormat="0" applyProtection="0">
      <alignment horizontal="left" vertical="top" indent="1"/>
    </xf>
    <xf numFmtId="4" fontId="43" fillId="34" borderId="83" applyNumberFormat="0" applyProtection="0">
      <alignment horizontal="right" vertical="center"/>
    </xf>
    <xf numFmtId="4" fontId="43" fillId="2" borderId="83" applyNumberFormat="0" applyProtection="0">
      <alignment horizontal="left" vertical="center" indent="1"/>
    </xf>
    <xf numFmtId="4" fontId="43" fillId="40" borderId="83" applyNumberFormat="0" applyProtection="0">
      <alignment horizontal="left" vertical="center" indent="1"/>
    </xf>
    <xf numFmtId="4" fontId="43" fillId="2" borderId="69" applyNumberFormat="0" applyProtection="0">
      <alignment horizontal="right" vertical="center"/>
    </xf>
    <xf numFmtId="0" fontId="43" fillId="8" borderId="9" applyNumberFormat="0" applyProtection="0">
      <alignment horizontal="left" vertical="top" indent="1"/>
    </xf>
    <xf numFmtId="4" fontId="43" fillId="38" borderId="69" applyNumberFormat="0" applyProtection="0">
      <alignment horizontal="right" vertical="center"/>
    </xf>
    <xf numFmtId="0" fontId="43" fillId="121" borderId="69" applyNumberFormat="0" applyProtection="0">
      <alignment horizontal="left" vertical="center" indent="1"/>
    </xf>
    <xf numFmtId="0" fontId="114" fillId="11" borderId="1" applyNumberFormat="0" applyAlignment="0" applyProtection="0"/>
    <xf numFmtId="4" fontId="16" fillId="123" borderId="8" applyNumberFormat="0" applyProtection="0">
      <alignment horizontal="left" vertical="center" indent="1"/>
    </xf>
    <xf numFmtId="4" fontId="119" fillId="4" borderId="9" applyNumberFormat="0" applyProtection="0">
      <alignment vertical="center"/>
    </xf>
    <xf numFmtId="4" fontId="119" fillId="4" borderId="9" applyNumberFormat="0" applyProtection="0">
      <alignment vertical="center"/>
    </xf>
    <xf numFmtId="0" fontId="43" fillId="6" borderId="9" applyNumberFormat="0" applyProtection="0">
      <alignment horizontal="left" vertical="top" indent="1"/>
    </xf>
    <xf numFmtId="4" fontId="43" fillId="110" borderId="69" applyNumberFormat="0" applyProtection="0">
      <alignment horizontal="right" vertical="center"/>
    </xf>
    <xf numFmtId="4" fontId="43" fillId="2" borderId="83" applyNumberFormat="0" applyProtection="0">
      <alignment horizontal="left" vertical="center" indent="1"/>
    </xf>
    <xf numFmtId="0" fontId="43" fillId="10" borderId="69" applyNumberFormat="0" applyProtection="0">
      <alignment horizontal="left" vertical="center" indent="1"/>
    </xf>
    <xf numFmtId="4" fontId="16" fillId="119" borderId="8" applyNumberFormat="0" applyProtection="0">
      <alignment horizontal="left" vertical="center" indent="1"/>
    </xf>
    <xf numFmtId="4" fontId="43" fillId="9" borderId="69" applyNumberFormat="0" applyProtection="0">
      <alignment horizontal="right" vertical="center"/>
    </xf>
    <xf numFmtId="4" fontId="43" fillId="2" borderId="69" applyNumberFormat="0" applyProtection="0">
      <alignment horizontal="right" vertical="center"/>
    </xf>
    <xf numFmtId="0" fontId="43" fillId="41" borderId="69" applyNumberFormat="0" applyProtection="0">
      <alignment horizontal="left" vertical="center" indent="1"/>
    </xf>
    <xf numFmtId="4" fontId="116" fillId="43" borderId="69" applyNumberFormat="0" applyProtection="0">
      <alignment horizontal="right" vertical="center"/>
    </xf>
    <xf numFmtId="4" fontId="43" fillId="2" borderId="69" applyNumberFormat="0" applyProtection="0">
      <alignment horizontal="right" vertical="center"/>
    </xf>
    <xf numFmtId="4" fontId="43" fillId="0" borderId="69" applyNumberFormat="0" applyProtection="0">
      <alignment horizontal="right" vertical="center"/>
    </xf>
    <xf numFmtId="0" fontId="14" fillId="45" borderId="8" applyNumberFormat="0" applyProtection="0">
      <alignment horizontal="left" vertical="center" indent="1"/>
    </xf>
    <xf numFmtId="4" fontId="16" fillId="111" borderId="8" applyNumberFormat="0" applyProtection="0">
      <alignment horizontal="right" vertical="center"/>
    </xf>
    <xf numFmtId="0" fontId="14" fillId="107" borderId="8" applyNumberFormat="0" applyProtection="0">
      <alignment horizontal="left" vertical="center" indent="1"/>
    </xf>
    <xf numFmtId="4" fontId="16" fillId="106" borderId="8" applyNumberFormat="0" applyProtection="0">
      <alignment vertical="center"/>
    </xf>
    <xf numFmtId="4" fontId="43" fillId="39" borderId="69" applyNumberFormat="0" applyProtection="0">
      <alignment horizontal="right" vertical="center"/>
    </xf>
    <xf numFmtId="0" fontId="31" fillId="27" borderId="69" applyNumberFormat="0" applyAlignment="0" applyProtection="0"/>
    <xf numFmtId="0" fontId="43" fillId="41" borderId="69" applyNumberFormat="0" applyProtection="0">
      <alignment horizontal="left" vertical="center" indent="1"/>
    </xf>
    <xf numFmtId="4" fontId="16" fillId="115" borderId="8" applyNumberFormat="0" applyProtection="0">
      <alignment horizontal="right" vertical="center"/>
    </xf>
    <xf numFmtId="4" fontId="43" fillId="9" borderId="69" applyNumberFormat="0" applyProtection="0">
      <alignment horizontal="right" vertical="center"/>
    </xf>
    <xf numFmtId="4" fontId="43" fillId="39" borderId="69" applyNumberFormat="0" applyProtection="0">
      <alignment horizontal="right" vertical="center"/>
    </xf>
    <xf numFmtId="0" fontId="14" fillId="107" borderId="8" applyNumberFormat="0" applyProtection="0">
      <alignment horizontal="left" vertical="center" indent="1"/>
    </xf>
    <xf numFmtId="4" fontId="16" fillId="109" borderId="8" applyNumberFormat="0" applyProtection="0">
      <alignment horizontal="right" vertical="center"/>
    </xf>
    <xf numFmtId="4" fontId="43" fillId="0" borderId="69" applyNumberFormat="0" applyProtection="0">
      <alignment horizontal="right" vertical="center"/>
    </xf>
    <xf numFmtId="4" fontId="43" fillId="110" borderId="69" applyNumberFormat="0" applyProtection="0">
      <alignment horizontal="right" vertical="center"/>
    </xf>
    <xf numFmtId="4" fontId="16" fillId="106" borderId="8" applyNumberFormat="0" applyProtection="0">
      <alignment horizontal="left" vertical="center" indent="1"/>
    </xf>
    <xf numFmtId="4" fontId="43" fillId="51" borderId="69" applyNumberFormat="0" applyProtection="0">
      <alignment horizontal="left" vertical="center" indent="1"/>
    </xf>
    <xf numFmtId="0" fontId="14" fillId="122" borderId="8" applyNumberFormat="0" applyProtection="0">
      <alignment horizontal="left" vertical="center" indent="1"/>
    </xf>
    <xf numFmtId="4" fontId="16" fillId="123" borderId="8" applyNumberFormat="0" applyProtection="0">
      <alignment horizontal="left" vertical="center" indent="1"/>
    </xf>
    <xf numFmtId="4" fontId="43" fillId="7" borderId="69" applyNumberFormat="0" applyProtection="0">
      <alignment horizontal="right" vertical="center"/>
    </xf>
    <xf numFmtId="0" fontId="114" fillId="11" borderId="1" applyNumberFormat="0" applyAlignment="0" applyProtection="0"/>
    <xf numFmtId="4" fontId="116" fillId="43" borderId="69" applyNumberFormat="0" applyProtection="0">
      <alignment horizontal="right" vertical="center"/>
    </xf>
    <xf numFmtId="4" fontId="43" fillId="110" borderId="69" applyNumberFormat="0" applyProtection="0">
      <alignment horizontal="right" vertical="center"/>
    </xf>
    <xf numFmtId="0" fontId="14" fillId="45" borderId="8" applyNumberFormat="0" applyProtection="0">
      <alignment horizontal="left" vertical="center" indent="1"/>
    </xf>
    <xf numFmtId="0" fontId="118" fillId="8" borderId="92" applyBorder="0"/>
    <xf numFmtId="0" fontId="43" fillId="6" borderId="69" applyNumberFormat="0" applyProtection="0">
      <alignment horizontal="left" vertical="center" indent="1"/>
    </xf>
    <xf numFmtId="4" fontId="16" fillId="116" borderId="8" applyNumberFormat="0" applyProtection="0">
      <alignment horizontal="right" vertical="center"/>
    </xf>
    <xf numFmtId="4" fontId="43" fillId="36" borderId="69" applyNumberFormat="0" applyProtection="0">
      <alignment horizontal="right" vertical="center"/>
    </xf>
    <xf numFmtId="4" fontId="43" fillId="9" borderId="69" applyNumberFormat="0" applyProtection="0">
      <alignment horizontal="right" vertical="center"/>
    </xf>
    <xf numFmtId="4" fontId="43" fillId="38" borderId="69" applyNumberFormat="0" applyProtection="0">
      <alignment horizontal="right" vertical="center"/>
    </xf>
    <xf numFmtId="4" fontId="119" fillId="10" borderId="9" applyNumberFormat="0" applyProtection="0">
      <alignment horizontal="left" vertical="center" indent="1"/>
    </xf>
    <xf numFmtId="4" fontId="43" fillId="7" borderId="69" applyNumberFormat="0" applyProtection="0">
      <alignment horizontal="right" vertical="center"/>
    </xf>
    <xf numFmtId="4" fontId="43" fillId="33" borderId="69" applyNumberFormat="0" applyProtection="0">
      <alignment vertical="center"/>
    </xf>
    <xf numFmtId="4" fontId="16" fillId="123" borderId="8" applyNumberFormat="0" applyProtection="0">
      <alignment horizontal="left" vertical="center" indent="1"/>
    </xf>
    <xf numFmtId="4" fontId="43" fillId="106" borderId="69" applyNumberFormat="0" applyProtection="0">
      <alignment horizontal="left" vertical="center" indent="1"/>
    </xf>
    <xf numFmtId="0" fontId="43" fillId="10" borderId="69" applyNumberFormat="0" applyProtection="0">
      <alignment horizontal="left" vertical="center" indent="1"/>
    </xf>
    <xf numFmtId="4" fontId="43" fillId="41" borderId="83" applyNumberFormat="0" applyProtection="0">
      <alignment horizontal="left" vertical="center" indent="1"/>
    </xf>
    <xf numFmtId="4" fontId="16" fillId="113" borderId="8" applyNumberFormat="0" applyProtection="0">
      <alignment horizontal="right" vertical="center"/>
    </xf>
    <xf numFmtId="4" fontId="43" fillId="35" borderId="69" applyNumberFormat="0" applyProtection="0">
      <alignment horizontal="right" vertical="center"/>
    </xf>
    <xf numFmtId="4" fontId="14" fillId="8" borderId="83" applyNumberFormat="0" applyProtection="0">
      <alignment horizontal="left" vertical="center" indent="1"/>
    </xf>
    <xf numFmtId="0" fontId="14" fillId="45" borderId="8" applyNumberFormat="0" applyProtection="0">
      <alignment horizontal="left" vertical="center" indent="1"/>
    </xf>
    <xf numFmtId="4" fontId="43" fillId="39" borderId="69" applyNumberFormat="0" applyProtection="0">
      <alignment horizontal="right" vertical="center"/>
    </xf>
    <xf numFmtId="4" fontId="43" fillId="2" borderId="83" applyNumberFormat="0" applyProtection="0">
      <alignment horizontal="left" vertical="center" indent="1"/>
    </xf>
    <xf numFmtId="4" fontId="40" fillId="119" borderId="8" applyNumberFormat="0" applyProtection="0">
      <alignment horizontal="right" vertical="center"/>
    </xf>
    <xf numFmtId="4" fontId="43" fillId="2" borderId="83" applyNumberFormat="0" applyProtection="0">
      <alignment horizontal="left" vertical="center" indent="1"/>
    </xf>
    <xf numFmtId="4" fontId="43" fillId="106" borderId="69" applyNumberFormat="0" applyProtection="0">
      <alignment horizontal="left" vertical="center" indent="1"/>
    </xf>
    <xf numFmtId="4" fontId="16" fillId="106" borderId="8" applyNumberFormat="0" applyProtection="0">
      <alignment vertical="center"/>
    </xf>
    <xf numFmtId="4" fontId="43" fillId="106" borderId="69" applyNumberFormat="0" applyProtection="0">
      <alignment horizontal="left" vertical="center" indent="1"/>
    </xf>
    <xf numFmtId="0" fontId="43" fillId="26" borderId="69" applyNumberFormat="0" applyFont="0" applyAlignment="0" applyProtection="0"/>
    <xf numFmtId="0" fontId="108" fillId="10" borderId="1" applyNumberFormat="0" applyAlignment="0" applyProtection="0"/>
    <xf numFmtId="4" fontId="43" fillId="7" borderId="69" applyNumberFormat="0" applyProtection="0">
      <alignment horizontal="right" vertical="center"/>
    </xf>
    <xf numFmtId="0" fontId="117" fillId="33" borderId="9" applyNumberFormat="0" applyProtection="0">
      <alignment horizontal="left" vertical="top" indent="1"/>
    </xf>
    <xf numFmtId="4" fontId="43" fillId="33" borderId="69" applyNumberFormat="0" applyProtection="0">
      <alignment vertical="center"/>
    </xf>
    <xf numFmtId="0" fontId="107" fillId="101" borderId="69" applyNumberFormat="0" applyAlignment="0" applyProtection="0"/>
    <xf numFmtId="4" fontId="121" fillId="42" borderId="83" applyNumberFormat="0" applyProtection="0">
      <alignment horizontal="left" vertical="center" indent="1"/>
    </xf>
    <xf numFmtId="0" fontId="43" fillId="124" borderId="94"/>
    <xf numFmtId="0" fontId="119" fillId="2" borderId="9" applyNumberFormat="0" applyProtection="0">
      <alignment horizontal="left" vertical="top" indent="1"/>
    </xf>
    <xf numFmtId="4" fontId="40" fillId="119" borderId="8" applyNumberFormat="0" applyProtection="0">
      <alignment horizontal="right" vertical="center"/>
    </xf>
    <xf numFmtId="4" fontId="43" fillId="0" borderId="69" applyNumberFormat="0" applyProtection="0">
      <alignment horizontal="right" vertical="center"/>
    </xf>
    <xf numFmtId="0" fontId="14" fillId="107" borderId="8" applyNumberFormat="0" applyProtection="0">
      <alignment horizontal="left" vertical="center" indent="1"/>
    </xf>
    <xf numFmtId="4" fontId="43" fillId="0" borderId="69" applyNumberFormat="0" applyProtection="0">
      <alignment horizontal="right" vertical="center"/>
    </xf>
    <xf numFmtId="4" fontId="43" fillId="51" borderId="69" applyNumberFormat="0" applyProtection="0">
      <alignment horizontal="left" vertical="center" indent="1"/>
    </xf>
    <xf numFmtId="4" fontId="38" fillId="119" borderId="8" applyNumberFormat="0" applyProtection="0">
      <alignment horizontal="right" vertical="center"/>
    </xf>
    <xf numFmtId="0" fontId="34" fillId="101" borderId="8" applyNumberFormat="0" applyAlignment="0" applyProtection="0"/>
    <xf numFmtId="0" fontId="43" fillId="26" borderId="69" applyNumberFormat="0" applyFont="0" applyAlignment="0" applyProtection="0"/>
    <xf numFmtId="0" fontId="16" fillId="4" borderId="7"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3" fillId="72" borderId="0" applyNumberFormat="0" applyBorder="0" applyAlignment="0" applyProtection="0"/>
    <xf numFmtId="0" fontId="103" fillId="76" borderId="0" applyNumberFormat="0" applyBorder="0" applyAlignment="0" applyProtection="0"/>
    <xf numFmtId="0" fontId="103" fillId="80" borderId="0" applyNumberFormat="0" applyBorder="0" applyAlignment="0" applyProtection="0"/>
  </cellStyleXfs>
  <cellXfs count="710">
    <xf numFmtId="175" fontId="0" fillId="0" borderId="0" xfId="0"/>
    <xf numFmtId="3" fontId="14" fillId="0" borderId="24" xfId="0" applyNumberFormat="1" applyFont="1" applyBorder="1" applyAlignment="1">
      <alignment horizontal="center"/>
    </xf>
    <xf numFmtId="3" fontId="14" fillId="0" borderId="31" xfId="0" applyNumberFormat="1" applyFont="1" applyBorder="1" applyAlignment="1">
      <alignment horizontal="center"/>
    </xf>
    <xf numFmtId="3" fontId="14" fillId="0" borderId="33" xfId="0" applyNumberFormat="1" applyFont="1" applyBorder="1" applyAlignment="1">
      <alignment horizontal="center"/>
    </xf>
    <xf numFmtId="3" fontId="14" fillId="0" borderId="41" xfId="0" applyNumberFormat="1" applyFont="1" applyBorder="1" applyAlignment="1" applyProtection="1">
      <alignment wrapText="1"/>
      <protection locked="0"/>
    </xf>
    <xf numFmtId="165" fontId="14" fillId="0" borderId="25" xfId="0" applyNumberFormat="1" applyFont="1" applyBorder="1" applyAlignment="1" applyProtection="1">
      <alignment horizontal="center"/>
      <protection locked="0"/>
    </xf>
    <xf numFmtId="165" fontId="14" fillId="0" borderId="0" xfId="0" applyNumberFormat="1" applyFont="1" applyProtection="1">
      <protection locked="0"/>
    </xf>
    <xf numFmtId="3" fontId="14" fillId="0" borderId="48" xfId="0" applyNumberFormat="1" applyFont="1" applyBorder="1" applyAlignment="1" applyProtection="1">
      <alignment wrapText="1"/>
      <protection locked="0"/>
    </xf>
    <xf numFmtId="165" fontId="14" fillId="0" borderId="32" xfId="0" applyNumberFormat="1" applyFont="1" applyBorder="1" applyAlignment="1" applyProtection="1">
      <alignment horizontal="center"/>
      <protection locked="0"/>
    </xf>
    <xf numFmtId="165" fontId="14" fillId="0" borderId="0" xfId="0" applyNumberFormat="1" applyFont="1" applyAlignment="1" applyProtection="1">
      <alignment horizontal="center"/>
      <protection locked="0"/>
    </xf>
    <xf numFmtId="175" fontId="14" fillId="0" borderId="0" xfId="0" applyFont="1" applyProtection="1">
      <protection locked="0"/>
    </xf>
    <xf numFmtId="175" fontId="15" fillId="0" borderId="0" xfId="0" applyFont="1" applyAlignment="1" applyProtection="1">
      <alignment horizontal="center" wrapText="1"/>
      <protection locked="0"/>
    </xf>
    <xf numFmtId="3" fontId="14" fillId="0" borderId="0" xfId="0" applyNumberFormat="1" applyFont="1" applyProtection="1">
      <protection locked="0"/>
    </xf>
    <xf numFmtId="175" fontId="15" fillId="0" borderId="0" xfId="0" applyFont="1" applyAlignment="1" applyProtection="1">
      <alignment wrapText="1"/>
      <protection locked="0"/>
    </xf>
    <xf numFmtId="3" fontId="46" fillId="0" borderId="17" xfId="0" applyNumberFormat="1" applyFont="1" applyBorder="1" applyAlignment="1">
      <alignment horizontal="center"/>
    </xf>
    <xf numFmtId="6" fontId="14" fillId="0" borderId="0" xfId="66" applyNumberFormat="1"/>
    <xf numFmtId="175" fontId="14" fillId="0" borderId="0" xfId="66"/>
    <xf numFmtId="175" fontId="16" fillId="0" borderId="0" xfId="67"/>
    <xf numFmtId="175" fontId="35" fillId="0" borderId="11" xfId="67" applyFont="1" applyBorder="1" applyAlignment="1">
      <alignment horizontal="center"/>
    </xf>
    <xf numFmtId="175" fontId="35" fillId="0" borderId="0" xfId="67" applyFont="1" applyAlignment="1">
      <alignment horizontal="center"/>
    </xf>
    <xf numFmtId="175" fontId="15" fillId="0" borderId="43" xfId="66" applyFont="1" applyBorder="1"/>
    <xf numFmtId="175" fontId="15" fillId="0" borderId="45" xfId="66" applyFont="1" applyBorder="1" applyAlignment="1">
      <alignment wrapText="1"/>
    </xf>
    <xf numFmtId="175" fontId="44" fillId="0" borderId="0" xfId="66" applyFont="1"/>
    <xf numFmtId="175" fontId="15" fillId="44" borderId="35" xfId="66" applyFont="1" applyFill="1" applyBorder="1" applyAlignment="1">
      <alignment horizontal="center"/>
    </xf>
    <xf numFmtId="175" fontId="15" fillId="0" borderId="36" xfId="66" applyFont="1" applyBorder="1" applyAlignment="1">
      <alignment horizontal="center"/>
    </xf>
    <xf numFmtId="175" fontId="45" fillId="0" borderId="44" xfId="66" applyFont="1" applyBorder="1" applyAlignment="1">
      <alignment horizontal="center"/>
    </xf>
    <xf numFmtId="175" fontId="15" fillId="0" borderId="44" xfId="66" applyFont="1" applyBorder="1" applyAlignment="1">
      <alignment horizontal="center"/>
    </xf>
    <xf numFmtId="175" fontId="14" fillId="0" borderId="44" xfId="66" applyBorder="1"/>
    <xf numFmtId="164" fontId="14" fillId="0" borderId="0" xfId="66" applyNumberFormat="1"/>
    <xf numFmtId="175" fontId="15" fillId="0" borderId="44" xfId="66" applyFont="1" applyBorder="1"/>
    <xf numFmtId="164" fontId="14" fillId="0" borderId="0" xfId="66" applyNumberFormat="1" applyAlignment="1">
      <alignment horizontal="right"/>
    </xf>
    <xf numFmtId="175" fontId="15" fillId="0" borderId="44" xfId="66" applyFont="1" applyBorder="1" applyAlignment="1">
      <alignment horizontal="left" indent="1"/>
    </xf>
    <xf numFmtId="175" fontId="15" fillId="0" borderId="44" xfId="66" applyFont="1" applyBorder="1" applyAlignment="1">
      <alignment horizontal="center" wrapText="1"/>
    </xf>
    <xf numFmtId="175" fontId="15" fillId="0" borderId="43" xfId="66" applyFont="1" applyBorder="1" applyAlignment="1">
      <alignment horizontal="left" indent="1"/>
    </xf>
    <xf numFmtId="175" fontId="15" fillId="0" borderId="47" xfId="66" applyFont="1" applyBorder="1" applyAlignment="1">
      <alignment horizontal="left" indent="1"/>
    </xf>
    <xf numFmtId="164" fontId="14" fillId="44" borderId="0" xfId="66" applyNumberFormat="1" applyFill="1"/>
    <xf numFmtId="175" fontId="15" fillId="0" borderId="37" xfId="66" applyFont="1" applyBorder="1" applyAlignment="1">
      <alignment wrapText="1"/>
    </xf>
    <xf numFmtId="164" fontId="15" fillId="0" borderId="37" xfId="66" applyNumberFormat="1" applyFont="1" applyBorder="1"/>
    <xf numFmtId="175" fontId="15" fillId="0" borderId="0" xfId="0" applyFont="1"/>
    <xf numFmtId="175" fontId="0" fillId="0" borderId="15" xfId="0" applyBorder="1"/>
    <xf numFmtId="175" fontId="15" fillId="0" borderId="34" xfId="0" applyFont="1" applyBorder="1"/>
    <xf numFmtId="175" fontId="14" fillId="0" borderId="0" xfId="0" applyFont="1"/>
    <xf numFmtId="175" fontId="14" fillId="0" borderId="13" xfId="0" applyFont="1" applyBorder="1"/>
    <xf numFmtId="175" fontId="35" fillId="0" borderId="0" xfId="0" applyFont="1" applyProtection="1">
      <protection locked="0"/>
    </xf>
    <xf numFmtId="175" fontId="16" fillId="0" borderId="0" xfId="0" applyFont="1" applyProtection="1">
      <protection locked="0"/>
    </xf>
    <xf numFmtId="165" fontId="16" fillId="0" borderId="0" xfId="0" applyNumberFormat="1" applyFont="1" applyProtection="1">
      <protection locked="0"/>
    </xf>
    <xf numFmtId="175" fontId="47" fillId="0" borderId="0" xfId="0" applyFont="1" applyProtection="1">
      <protection locked="0"/>
    </xf>
    <xf numFmtId="172" fontId="35" fillId="0" borderId="0" xfId="0" applyNumberFormat="1" applyFont="1" applyAlignment="1" applyProtection="1">
      <alignment horizontal="right"/>
      <protection locked="0"/>
    </xf>
    <xf numFmtId="172" fontId="35" fillId="0" borderId="0" xfId="0" applyNumberFormat="1" applyFont="1" applyAlignment="1" applyProtection="1">
      <alignment horizontal="center"/>
      <protection locked="0"/>
    </xf>
    <xf numFmtId="38" fontId="48" fillId="0" borderId="0" xfId="0" applyNumberFormat="1" applyFont="1" applyProtection="1">
      <protection locked="0"/>
    </xf>
    <xf numFmtId="165" fontId="48" fillId="0" borderId="0" xfId="0" applyNumberFormat="1" applyFont="1" applyProtection="1">
      <protection locked="0"/>
    </xf>
    <xf numFmtId="175" fontId="48" fillId="0" borderId="0" xfId="0" applyFont="1" applyProtection="1">
      <protection locked="0"/>
    </xf>
    <xf numFmtId="175" fontId="16" fillId="0" borderId="0" xfId="0" applyFont="1" applyAlignment="1" applyProtection="1">
      <alignment horizontal="left" indent="1"/>
      <protection locked="0"/>
    </xf>
    <xf numFmtId="175" fontId="16" fillId="0" borderId="0" xfId="0" applyFont="1"/>
    <xf numFmtId="175" fontId="35" fillId="0" borderId="11" xfId="0" applyFont="1" applyBorder="1" applyAlignment="1">
      <alignment horizontal="center" wrapText="1"/>
    </xf>
    <xf numFmtId="175" fontId="16" fillId="0" borderId="11" xfId="0" applyFont="1" applyBorder="1"/>
    <xf numFmtId="172" fontId="16" fillId="0" borderId="11" xfId="0" applyNumberFormat="1" applyFont="1" applyBorder="1"/>
    <xf numFmtId="172" fontId="16" fillId="0" borderId="11" xfId="46" applyNumberFormat="1" applyFont="1" applyBorder="1" applyAlignment="1">
      <alignment horizontal="right"/>
    </xf>
    <xf numFmtId="166" fontId="16" fillId="0" borderId="11" xfId="46" applyNumberFormat="1" applyFont="1" applyBorder="1" applyAlignment="1">
      <alignment horizontal="right"/>
    </xf>
    <xf numFmtId="172" fontId="35" fillId="0" borderId="11" xfId="46" applyNumberFormat="1" applyFont="1" applyBorder="1" applyAlignment="1">
      <alignment horizontal="right" wrapText="1"/>
    </xf>
    <xf numFmtId="166" fontId="35" fillId="0" borderId="11" xfId="0" applyNumberFormat="1" applyFont="1" applyBorder="1"/>
    <xf numFmtId="166" fontId="16" fillId="0" borderId="11" xfId="46" applyNumberFormat="1" applyFont="1" applyBorder="1" applyAlignment="1">
      <alignment horizontal="right" wrapText="1"/>
    </xf>
    <xf numFmtId="166" fontId="16" fillId="0" borderId="11" xfId="0" applyNumberFormat="1" applyFont="1" applyBorder="1"/>
    <xf numFmtId="175" fontId="35" fillId="0" borderId="20" xfId="0" applyFont="1" applyBorder="1"/>
    <xf numFmtId="166" fontId="35" fillId="0" borderId="20" xfId="0" applyNumberFormat="1" applyFont="1" applyBorder="1"/>
    <xf numFmtId="175" fontId="35" fillId="0" borderId="20" xfId="0" applyFont="1" applyBorder="1" applyAlignment="1">
      <alignment horizontal="center"/>
    </xf>
    <xf numFmtId="166" fontId="35" fillId="0" borderId="11" xfId="0" applyNumberFormat="1" applyFont="1" applyBorder="1" applyAlignment="1">
      <alignment horizontal="center" wrapText="1"/>
    </xf>
    <xf numFmtId="166" fontId="35" fillId="0" borderId="11" xfId="0" applyNumberFormat="1" applyFont="1" applyBorder="1" applyAlignment="1">
      <alignment horizontal="center"/>
    </xf>
    <xf numFmtId="166" fontId="35" fillId="0" borderId="20" xfId="0" applyNumberFormat="1" applyFont="1" applyBorder="1" applyAlignment="1">
      <alignment horizontal="center"/>
    </xf>
    <xf numFmtId="166" fontId="16" fillId="0" borderId="27" xfId="0" applyNumberFormat="1" applyFont="1" applyBorder="1"/>
    <xf numFmtId="166" fontId="35" fillId="0" borderId="27" xfId="0" applyNumberFormat="1" applyFont="1" applyBorder="1"/>
    <xf numFmtId="166" fontId="16" fillId="0" borderId="18" xfId="46" applyNumberFormat="1" applyFont="1" applyBorder="1" applyAlignment="1">
      <alignment horizontal="right"/>
    </xf>
    <xf numFmtId="166" fontId="16" fillId="0" borderId="18" xfId="0" applyNumberFormat="1" applyFont="1" applyBorder="1"/>
    <xf numFmtId="166" fontId="16" fillId="0" borderId="19" xfId="0" applyNumberFormat="1" applyFont="1" applyBorder="1"/>
    <xf numFmtId="172" fontId="35" fillId="0" borderId="11" xfId="0" applyNumberFormat="1" applyFont="1" applyBorder="1"/>
    <xf numFmtId="166" fontId="35" fillId="0" borderId="11" xfId="46" applyNumberFormat="1" applyFont="1" applyBorder="1" applyAlignment="1">
      <alignment horizontal="right"/>
    </xf>
    <xf numFmtId="172" fontId="35" fillId="0" borderId="20" xfId="0" applyNumberFormat="1" applyFont="1" applyBorder="1" applyAlignment="1">
      <alignment horizontal="right"/>
    </xf>
    <xf numFmtId="172" fontId="35" fillId="0" borderId="20" xfId="0" applyNumberFormat="1" applyFont="1" applyBorder="1" applyAlignment="1">
      <alignment horizontal="center"/>
    </xf>
    <xf numFmtId="166" fontId="16" fillId="0" borderId="11" xfId="0" quotePrefix="1" applyNumberFormat="1" applyFont="1" applyBorder="1" applyAlignment="1">
      <alignment horizontal="center"/>
    </xf>
    <xf numFmtId="166" fontId="16" fillId="0" borderId="11" xfId="46" applyNumberFormat="1" applyFont="1" applyBorder="1" applyAlignment="1">
      <alignment horizontal="center"/>
    </xf>
    <xf numFmtId="166" fontId="35" fillId="0" borderId="20" xfId="0" applyNumberFormat="1" applyFont="1" applyBorder="1" applyAlignment="1">
      <alignment horizontal="right"/>
    </xf>
    <xf numFmtId="175" fontId="35" fillId="0" borderId="27" xfId="0" applyFont="1" applyBorder="1"/>
    <xf numFmtId="175" fontId="35" fillId="0" borderId="0" xfId="0" applyFont="1"/>
    <xf numFmtId="38" fontId="16" fillId="0" borderId="0" xfId="0" applyNumberFormat="1" applyFont="1"/>
    <xf numFmtId="165" fontId="16" fillId="0" borderId="0" xfId="0" applyNumberFormat="1" applyFont="1"/>
    <xf numFmtId="175" fontId="14" fillId="0" borderId="13" xfId="0" applyFont="1" applyBorder="1" applyProtection="1">
      <protection locked="0"/>
    </xf>
    <xf numFmtId="9" fontId="14" fillId="0" borderId="0" xfId="145" applyFont="1" applyProtection="1">
      <protection locked="0"/>
    </xf>
    <xf numFmtId="175" fontId="15" fillId="0" borderId="14" xfId="0" applyFont="1" applyBorder="1" applyAlignment="1" applyProtection="1">
      <alignment horizontal="center"/>
      <protection locked="0"/>
    </xf>
    <xf numFmtId="175" fontId="14" fillId="0" borderId="16" xfId="0" applyFont="1" applyBorder="1" applyProtection="1">
      <protection locked="0"/>
    </xf>
    <xf numFmtId="175" fontId="15" fillId="0" borderId="11" xfId="0" applyFont="1" applyBorder="1" applyAlignment="1" applyProtection="1">
      <alignment horizontal="center"/>
      <protection locked="0"/>
    </xf>
    <xf numFmtId="166" fontId="14" fillId="0" borderId="0" xfId="0" applyNumberFormat="1" applyFont="1" applyAlignment="1">
      <alignment horizontal="center"/>
    </xf>
    <xf numFmtId="173" fontId="14" fillId="0" borderId="0" xfId="0" applyNumberFormat="1" applyFont="1" applyAlignment="1">
      <alignment horizontal="center"/>
    </xf>
    <xf numFmtId="3" fontId="14" fillId="0" borderId="0" xfId="0" applyNumberFormat="1" applyFont="1" applyAlignment="1">
      <alignment horizontal="center"/>
    </xf>
    <xf numFmtId="165" fontId="14" fillId="0" borderId="0" xfId="0" applyNumberFormat="1" applyFont="1" applyAlignment="1">
      <alignment horizontal="center"/>
    </xf>
    <xf numFmtId="175" fontId="35" fillId="0" borderId="16" xfId="0" applyFont="1" applyBorder="1" applyAlignment="1" applyProtection="1">
      <alignment horizontal="center"/>
      <protection locked="0"/>
    </xf>
    <xf numFmtId="175" fontId="16" fillId="0" borderId="11" xfId="0" applyFont="1" applyBorder="1" applyProtection="1">
      <protection locked="0"/>
    </xf>
    <xf numFmtId="175" fontId="35" fillId="0" borderId="20" xfId="0" applyFont="1" applyBorder="1" applyProtection="1">
      <protection locked="0"/>
    </xf>
    <xf numFmtId="175" fontId="35" fillId="0" borderId="20" xfId="0" applyFont="1" applyBorder="1" applyAlignment="1" applyProtection="1">
      <alignment horizontal="center"/>
      <protection locked="0"/>
    </xf>
    <xf numFmtId="175" fontId="35" fillId="0" borderId="22" xfId="0" applyFont="1" applyBorder="1" applyProtection="1">
      <protection locked="0"/>
    </xf>
    <xf numFmtId="175" fontId="16" fillId="0" borderId="11" xfId="0" applyFont="1" applyBorder="1" applyAlignment="1" applyProtection="1">
      <alignment wrapText="1" shrinkToFit="1"/>
      <protection locked="0"/>
    </xf>
    <xf numFmtId="175" fontId="35" fillId="0" borderId="11" xfId="0" applyFont="1" applyBorder="1" applyProtection="1">
      <protection locked="0"/>
    </xf>
    <xf numFmtId="175" fontId="16" fillId="0" borderId="16" xfId="0" applyFont="1" applyBorder="1" applyProtection="1">
      <protection locked="0"/>
    </xf>
    <xf numFmtId="38" fontId="54" fillId="0" borderId="17" xfId="0" applyNumberFormat="1" applyFont="1" applyBorder="1" applyAlignment="1">
      <alignment horizontal="center"/>
    </xf>
    <xf numFmtId="172" fontId="16" fillId="0" borderId="11" xfId="0" quotePrefix="1" applyNumberFormat="1" applyFont="1" applyBorder="1" applyAlignment="1">
      <alignment horizontal="center"/>
    </xf>
    <xf numFmtId="172" fontId="16" fillId="0" borderId="11" xfId="0" quotePrefix="1" applyNumberFormat="1" applyFont="1" applyBorder="1" applyAlignment="1">
      <alignment horizontal="right"/>
    </xf>
    <xf numFmtId="172" fontId="35" fillId="0" borderId="20" xfId="0" quotePrefix="1" applyNumberFormat="1" applyFont="1" applyBorder="1" applyAlignment="1">
      <alignment horizontal="center"/>
    </xf>
    <xf numFmtId="172" fontId="35" fillId="0" borderId="20" xfId="0" applyNumberFormat="1" applyFont="1" applyBorder="1"/>
    <xf numFmtId="38" fontId="16" fillId="0" borderId="11" xfId="0" applyNumberFormat="1" applyFont="1" applyBorder="1"/>
    <xf numFmtId="165" fontId="35" fillId="0" borderId="11" xfId="0" applyNumberFormat="1" applyFont="1" applyBorder="1"/>
    <xf numFmtId="172" fontId="35" fillId="0" borderId="11" xfId="46" applyNumberFormat="1" applyFont="1" applyBorder="1" applyAlignment="1">
      <alignment horizontal="right"/>
    </xf>
    <xf numFmtId="38" fontId="16" fillId="0" borderId="27" xfId="0" applyNumberFormat="1" applyFont="1" applyBorder="1"/>
    <xf numFmtId="165" fontId="35" fillId="0" borderId="27" xfId="0" applyNumberFormat="1" applyFont="1" applyBorder="1"/>
    <xf numFmtId="175" fontId="16" fillId="0" borderId="20" xfId="0" applyFont="1" applyBorder="1"/>
    <xf numFmtId="170" fontId="16" fillId="0" borderId="18" xfId="46" applyNumberFormat="1" applyFont="1" applyBorder="1" applyAlignment="1">
      <alignment horizontal="right"/>
    </xf>
    <xf numFmtId="169" fontId="35" fillId="0" borderId="18" xfId="46" applyNumberFormat="1" applyFont="1" applyBorder="1" applyAlignment="1">
      <alignment horizontal="right"/>
    </xf>
    <xf numFmtId="170" fontId="16" fillId="0" borderId="11" xfId="46" applyNumberFormat="1" applyFont="1" applyBorder="1" applyAlignment="1">
      <alignment horizontal="right"/>
    </xf>
    <xf numFmtId="169" fontId="35" fillId="0" borderId="11" xfId="46" applyNumberFormat="1" applyFont="1" applyBorder="1" applyAlignment="1">
      <alignment horizontal="right"/>
    </xf>
    <xf numFmtId="166" fontId="35" fillId="0" borderId="11" xfId="46" applyNumberFormat="1" applyFont="1" applyBorder="1" applyAlignment="1">
      <alignment horizontal="right" wrapText="1"/>
    </xf>
    <xf numFmtId="166" fontId="16" fillId="0" borderId="11" xfId="0" quotePrefix="1" applyNumberFormat="1" applyFont="1" applyBorder="1" applyAlignment="1">
      <alignment horizontal="right"/>
    </xf>
    <xf numFmtId="166" fontId="35" fillId="0" borderId="20" xfId="0" quotePrefix="1" applyNumberFormat="1" applyFont="1" applyBorder="1" applyAlignment="1">
      <alignment horizontal="center"/>
    </xf>
    <xf numFmtId="166" fontId="16" fillId="0" borderId="20" xfId="0" applyNumberFormat="1" applyFont="1" applyBorder="1"/>
    <xf numFmtId="166" fontId="35" fillId="0" borderId="18" xfId="46" applyNumberFormat="1" applyFont="1" applyBorder="1" applyAlignment="1">
      <alignment horizontal="right"/>
    </xf>
    <xf numFmtId="175" fontId="16" fillId="0" borderId="18" xfId="0" applyFont="1" applyBorder="1"/>
    <xf numFmtId="175" fontId="60" fillId="0" borderId="0" xfId="0" applyFont="1"/>
    <xf numFmtId="3" fontId="46" fillId="0" borderId="17" xfId="0" applyNumberFormat="1" applyFont="1" applyBorder="1" applyAlignment="1" applyProtection="1">
      <alignment horizontal="center"/>
      <protection locked="0"/>
    </xf>
    <xf numFmtId="3" fontId="14" fillId="0" borderId="24" xfId="0" applyNumberFormat="1" applyFont="1" applyBorder="1" applyAlignment="1" applyProtection="1">
      <alignment horizontal="center"/>
      <protection locked="0"/>
    </xf>
    <xf numFmtId="3" fontId="46" fillId="0" borderId="20" xfId="0" applyNumberFormat="1" applyFont="1" applyBorder="1" applyAlignment="1" applyProtection="1">
      <alignment horizontal="center"/>
      <protection locked="0"/>
    </xf>
    <xf numFmtId="38" fontId="54" fillId="0" borderId="11" xfId="146" applyNumberFormat="1" applyFont="1" applyBorder="1" applyAlignment="1" applyProtection="1">
      <alignment horizontal="center"/>
      <protection locked="0"/>
    </xf>
    <xf numFmtId="175" fontId="35" fillId="0" borderId="11" xfId="0" applyFont="1" applyBorder="1" applyAlignment="1" applyProtection="1">
      <alignment horizontal="center" wrapText="1"/>
      <protection locked="0"/>
    </xf>
    <xf numFmtId="175" fontId="15" fillId="0" borderId="0" xfId="66" applyFont="1" applyProtection="1">
      <protection locked="0"/>
    </xf>
    <xf numFmtId="175" fontId="14" fillId="0" borderId="0" xfId="66" applyProtection="1">
      <protection locked="0"/>
    </xf>
    <xf numFmtId="175" fontId="14" fillId="0" borderId="36" xfId="66" applyBorder="1" applyProtection="1">
      <protection locked="0"/>
    </xf>
    <xf numFmtId="175" fontId="14" fillId="0" borderId="37" xfId="66" applyBorder="1" applyProtection="1">
      <protection locked="0"/>
    </xf>
    <xf numFmtId="175" fontId="14" fillId="0" borderId="38" xfId="66" applyBorder="1" applyProtection="1">
      <protection locked="0"/>
    </xf>
    <xf numFmtId="175" fontId="14" fillId="0" borderId="14" xfId="66" applyBorder="1" applyProtection="1">
      <protection locked="0"/>
    </xf>
    <xf numFmtId="175" fontId="14" fillId="0" borderId="18" xfId="66" applyBorder="1" applyProtection="1">
      <protection locked="0"/>
    </xf>
    <xf numFmtId="175" fontId="14" fillId="0" borderId="19" xfId="66" applyBorder="1" applyProtection="1">
      <protection locked="0"/>
    </xf>
    <xf numFmtId="175" fontId="15" fillId="0" borderId="11" xfId="66" applyFont="1" applyBorder="1" applyAlignment="1" applyProtection="1">
      <alignment horizontal="center" wrapText="1"/>
      <protection locked="0"/>
    </xf>
    <xf numFmtId="6" fontId="14" fillId="0" borderId="0" xfId="66" applyNumberFormat="1" applyProtection="1">
      <protection locked="0"/>
    </xf>
    <xf numFmtId="175" fontId="14" fillId="0" borderId="13" xfId="66" applyBorder="1" applyProtection="1">
      <protection locked="0"/>
    </xf>
    <xf numFmtId="164" fontId="14" fillId="0" borderId="42" xfId="66" applyNumberFormat="1" applyBorder="1" applyProtection="1">
      <protection locked="0"/>
    </xf>
    <xf numFmtId="175" fontId="14" fillId="0" borderId="42" xfId="66" applyBorder="1" applyProtection="1">
      <protection locked="0"/>
    </xf>
    <xf numFmtId="175" fontId="16" fillId="0" borderId="0" xfId="67" applyProtection="1">
      <protection locked="0"/>
    </xf>
    <xf numFmtId="175" fontId="16" fillId="0" borderId="11" xfId="67" applyBorder="1" applyProtection="1">
      <protection locked="0"/>
    </xf>
    <xf numFmtId="175" fontId="35" fillId="0" borderId="11" xfId="67" applyFont="1" applyBorder="1" applyProtection="1">
      <protection locked="0"/>
    </xf>
    <xf numFmtId="175" fontId="53" fillId="0" borderId="0" xfId="0" applyFont="1" applyProtection="1">
      <protection locked="0"/>
    </xf>
    <xf numFmtId="175" fontId="15" fillId="0" borderId="0" xfId="0" applyFont="1" applyProtection="1">
      <protection locked="0"/>
    </xf>
    <xf numFmtId="175" fontId="64" fillId="0" borderId="0" xfId="0" applyFont="1" applyAlignment="1">
      <alignment horizontal="left" vertical="center" indent="4"/>
    </xf>
    <xf numFmtId="175" fontId="15" fillId="0" borderId="0" xfId="0" applyFont="1" applyAlignment="1" applyProtection="1">
      <alignment horizontal="center"/>
      <protection locked="0"/>
    </xf>
    <xf numFmtId="17" fontId="15" fillId="0" borderId="0" xfId="0" quotePrefix="1" applyNumberFormat="1" applyFont="1" applyAlignment="1" applyProtection="1">
      <alignment horizontal="center"/>
      <protection locked="0"/>
    </xf>
    <xf numFmtId="175" fontId="0" fillId="47" borderId="0" xfId="0" applyFill="1"/>
    <xf numFmtId="17" fontId="15" fillId="47" borderId="0" xfId="0" quotePrefix="1" applyNumberFormat="1" applyFont="1" applyFill="1" applyAlignment="1" applyProtection="1">
      <alignment horizontal="center"/>
      <protection locked="0"/>
    </xf>
    <xf numFmtId="175" fontId="14" fillId="47" borderId="0" xfId="0" applyFont="1" applyFill="1" applyProtection="1">
      <protection locked="0"/>
    </xf>
    <xf numFmtId="175" fontId="52" fillId="0" borderId="0" xfId="0" applyFont="1" applyAlignment="1">
      <alignment horizontal="center"/>
    </xf>
    <xf numFmtId="38" fontId="14" fillId="0" borderId="24" xfId="0" applyNumberFormat="1" applyFont="1" applyBorder="1" applyAlignment="1">
      <alignment horizontal="center"/>
    </xf>
    <xf numFmtId="38" fontId="14" fillId="0" borderId="24" xfId="0" applyNumberFormat="1" applyFont="1" applyBorder="1" applyAlignment="1" applyProtection="1">
      <alignment horizontal="center"/>
      <protection locked="0"/>
    </xf>
    <xf numFmtId="175" fontId="14" fillId="0" borderId="17" xfId="0" applyFont="1" applyBorder="1" applyProtection="1">
      <protection locked="0"/>
    </xf>
    <xf numFmtId="3" fontId="14" fillId="0" borderId="29" xfId="0" applyNumberFormat="1" applyFont="1" applyBorder="1" applyAlignment="1">
      <alignment horizontal="center"/>
    </xf>
    <xf numFmtId="3" fontId="54" fillId="0" borderId="22" xfId="0" applyNumberFormat="1" applyFont="1" applyBorder="1" applyAlignment="1">
      <alignment horizontal="center"/>
    </xf>
    <xf numFmtId="3" fontId="54" fillId="0" borderId="17" xfId="0" applyNumberFormat="1" applyFont="1" applyBorder="1" applyAlignment="1">
      <alignment horizontal="center"/>
    </xf>
    <xf numFmtId="175" fontId="14" fillId="47" borderId="0" xfId="66" applyFill="1"/>
    <xf numFmtId="175" fontId="15" fillId="47" borderId="0" xfId="0" applyFont="1" applyFill="1" applyAlignment="1" applyProtection="1">
      <alignment horizontal="center"/>
      <protection locked="0"/>
    </xf>
    <xf numFmtId="175" fontId="15" fillId="0" borderId="11" xfId="0" applyFont="1" applyBorder="1" applyAlignment="1" applyProtection="1">
      <alignment horizontal="left"/>
      <protection locked="0"/>
    </xf>
    <xf numFmtId="17" fontId="16" fillId="0" borderId="0" xfId="0" applyNumberFormat="1" applyFont="1" applyAlignment="1" applyProtection="1">
      <alignment horizontal="center"/>
      <protection locked="0"/>
    </xf>
    <xf numFmtId="175" fontId="35" fillId="48" borderId="20" xfId="0" applyFont="1" applyFill="1" applyBorder="1" applyAlignment="1" applyProtection="1">
      <alignment horizontal="center" vertical="center"/>
      <protection locked="0"/>
    </xf>
    <xf numFmtId="175" fontId="35" fillId="48" borderId="11" xfId="0" applyFont="1" applyFill="1" applyBorder="1" applyAlignment="1" applyProtection="1">
      <alignment horizontal="center" vertical="center"/>
      <protection locked="0"/>
    </xf>
    <xf numFmtId="175" fontId="35" fillId="0" borderId="20" xfId="0" applyFont="1" applyBorder="1" applyAlignment="1" applyProtection="1">
      <alignment horizontal="right"/>
      <protection locked="0"/>
    </xf>
    <xf numFmtId="175" fontId="16" fillId="0" borderId="11" xfId="0" applyFont="1" applyBorder="1" applyAlignment="1" applyProtection="1">
      <alignment horizontal="left"/>
      <protection locked="0"/>
    </xf>
    <xf numFmtId="175" fontId="15" fillId="0" borderId="19" xfId="0" applyFont="1" applyBorder="1" applyAlignment="1" applyProtection="1">
      <alignment horizontal="center" wrapText="1"/>
      <protection locked="0"/>
    </xf>
    <xf numFmtId="3" fontId="15" fillId="0" borderId="26" xfId="0" applyNumberFormat="1" applyFont="1" applyBorder="1" applyAlignment="1">
      <alignment horizontal="center" wrapText="1"/>
    </xf>
    <xf numFmtId="174" fontId="14" fillId="0" borderId="24" xfId="0" applyNumberFormat="1" applyFont="1" applyBorder="1"/>
    <xf numFmtId="3" fontId="15" fillId="0" borderId="27" xfId="0" applyNumberFormat="1" applyFont="1" applyBorder="1" applyAlignment="1">
      <alignment horizontal="center" wrapText="1"/>
    </xf>
    <xf numFmtId="175" fontId="15" fillId="0" borderId="50" xfId="0" applyFont="1" applyBorder="1" applyAlignment="1">
      <alignment horizontal="center"/>
    </xf>
    <xf numFmtId="4" fontId="14" fillId="0" borderId="32" xfId="0" applyNumberFormat="1" applyFont="1" applyBorder="1" applyAlignment="1">
      <alignment horizontal="right"/>
    </xf>
    <xf numFmtId="4" fontId="14" fillId="0" borderId="29" xfId="0" applyNumberFormat="1" applyFont="1" applyBorder="1" applyAlignment="1">
      <alignment horizontal="right"/>
    </xf>
    <xf numFmtId="175" fontId="15" fillId="0" borderId="17" xfId="0" applyFont="1" applyBorder="1" applyProtection="1">
      <protection locked="0"/>
    </xf>
    <xf numFmtId="175" fontId="15" fillId="0" borderId="11" xfId="0" applyFont="1" applyBorder="1" applyProtection="1">
      <protection locked="0"/>
    </xf>
    <xf numFmtId="175" fontId="15" fillId="0" borderId="18" xfId="0" applyFont="1" applyBorder="1" applyAlignment="1" applyProtection="1">
      <alignment horizontal="center" wrapText="1"/>
      <protection locked="0"/>
    </xf>
    <xf numFmtId="175" fontId="15" fillId="0" borderId="11" xfId="0" applyFont="1" applyBorder="1" applyAlignment="1" applyProtection="1">
      <alignment horizontal="center" wrapText="1"/>
      <protection locked="0"/>
    </xf>
    <xf numFmtId="175" fontId="15" fillId="0" borderId="18" xfId="0" applyFont="1" applyBorder="1" applyAlignment="1">
      <alignment horizontal="center" wrapText="1"/>
    </xf>
    <xf numFmtId="175" fontId="15" fillId="0" borderId="18" xfId="0" applyFont="1" applyBorder="1" applyAlignment="1">
      <alignment horizontal="center"/>
    </xf>
    <xf numFmtId="175" fontId="15" fillId="0" borderId="20" xfId="0" applyFont="1" applyBorder="1" applyAlignment="1">
      <alignment horizontal="center" wrapText="1"/>
    </xf>
    <xf numFmtId="175" fontId="15" fillId="0" borderId="19" xfId="0" applyFont="1" applyBorder="1" applyAlignment="1">
      <alignment horizontal="center"/>
    </xf>
    <xf numFmtId="175" fontId="15" fillId="0" borderId="19" xfId="0" applyFont="1" applyBorder="1" applyAlignment="1" applyProtection="1">
      <alignment horizontal="center"/>
      <protection locked="0"/>
    </xf>
    <xf numFmtId="175" fontId="15" fillId="0" borderId="23" xfId="0" applyFont="1" applyBorder="1" applyProtection="1">
      <protection locked="0"/>
    </xf>
    <xf numFmtId="3" fontId="15" fillId="0" borderId="20" xfId="0" applyNumberFormat="1" applyFont="1" applyBorder="1" applyAlignment="1">
      <alignment horizontal="center" wrapText="1"/>
    </xf>
    <xf numFmtId="2" fontId="15" fillId="0" borderId="18" xfId="0" applyNumberFormat="1" applyFont="1" applyBorder="1" applyAlignment="1">
      <alignment horizontal="center" wrapText="1"/>
    </xf>
    <xf numFmtId="175" fontId="15" fillId="0" borderId="26" xfId="0" applyFont="1" applyBorder="1" applyAlignment="1">
      <alignment horizontal="center"/>
    </xf>
    <xf numFmtId="3" fontId="15" fillId="0" borderId="18" xfId="0" applyNumberFormat="1" applyFont="1" applyBorder="1" applyAlignment="1">
      <alignment horizontal="center" wrapText="1"/>
    </xf>
    <xf numFmtId="3" fontId="15" fillId="0" borderId="20" xfId="0" applyNumberFormat="1" applyFont="1" applyBorder="1" applyAlignment="1" applyProtection="1">
      <alignment horizontal="center" wrapText="1"/>
      <protection locked="0"/>
    </xf>
    <xf numFmtId="175" fontId="15" fillId="0" borderId="49" xfId="0" applyFont="1" applyBorder="1" applyAlignment="1">
      <alignment horizontal="center"/>
    </xf>
    <xf numFmtId="175" fontId="15" fillId="0" borderId="28" xfId="0" applyFont="1" applyBorder="1" applyProtection="1">
      <protection locked="0"/>
    </xf>
    <xf numFmtId="175" fontId="40" fillId="0" borderId="0" xfId="0" applyFont="1" applyProtection="1">
      <protection locked="0"/>
    </xf>
    <xf numFmtId="3" fontId="40" fillId="0" borderId="0" xfId="0" applyNumberFormat="1" applyFont="1" applyProtection="1">
      <protection locked="0"/>
    </xf>
    <xf numFmtId="1" fontId="40" fillId="0" borderId="0" xfId="0" applyNumberFormat="1" applyFont="1" applyProtection="1">
      <protection locked="0"/>
    </xf>
    <xf numFmtId="175" fontId="15" fillId="47" borderId="18" xfId="0" applyFont="1" applyFill="1" applyBorder="1" applyAlignment="1" applyProtection="1">
      <alignment horizontal="center" wrapText="1"/>
      <protection locked="0"/>
    </xf>
    <xf numFmtId="175" fontId="16" fillId="47" borderId="0" xfId="67" applyFill="1" applyProtection="1">
      <protection locked="0"/>
    </xf>
    <xf numFmtId="175" fontId="14" fillId="47" borderId="0" xfId="66" applyFill="1" applyProtection="1">
      <protection locked="0"/>
    </xf>
    <xf numFmtId="17" fontId="15" fillId="47" borderId="0" xfId="0" applyNumberFormat="1" applyFont="1" applyFill="1" applyAlignment="1" applyProtection="1">
      <alignment horizontal="center"/>
      <protection locked="0"/>
    </xf>
    <xf numFmtId="175" fontId="16" fillId="47" borderId="0" xfId="0" applyFont="1" applyFill="1" applyProtection="1">
      <protection locked="0"/>
    </xf>
    <xf numFmtId="164" fontId="14" fillId="0" borderId="51" xfId="66" applyNumberFormat="1" applyBorder="1" applyProtection="1">
      <protection locked="0"/>
    </xf>
    <xf numFmtId="175" fontId="52" fillId="47" borderId="0" xfId="0" applyFont="1" applyFill="1" applyAlignment="1">
      <alignment horizontal="center"/>
    </xf>
    <xf numFmtId="175" fontId="15" fillId="0" borderId="51" xfId="66" applyFont="1" applyBorder="1" applyProtection="1">
      <protection locked="0"/>
    </xf>
    <xf numFmtId="175" fontId="15" fillId="47" borderId="0" xfId="0" applyFont="1" applyFill="1" applyProtection="1">
      <protection locked="0"/>
    </xf>
    <xf numFmtId="175" fontId="0" fillId="0" borderId="0" xfId="0" quotePrefix="1"/>
    <xf numFmtId="175" fontId="14" fillId="47" borderId="17" xfId="0" applyFont="1" applyFill="1" applyBorder="1"/>
    <xf numFmtId="3" fontId="54" fillId="47" borderId="17" xfId="0" applyNumberFormat="1" applyFont="1" applyFill="1" applyBorder="1" applyAlignment="1">
      <alignment horizontal="center"/>
    </xf>
    <xf numFmtId="175" fontId="15" fillId="0" borderId="43" xfId="66" quotePrefix="1" applyFont="1" applyBorder="1" applyAlignment="1">
      <alignment horizontal="left" wrapText="1" indent="1"/>
    </xf>
    <xf numFmtId="175" fontId="16" fillId="0" borderId="0" xfId="0" quotePrefix="1" applyFont="1" applyProtection="1">
      <protection locked="0"/>
    </xf>
    <xf numFmtId="175" fontId="66" fillId="0" borderId="0" xfId="0" applyFont="1" applyAlignment="1" applyProtection="1">
      <alignment horizontal="center"/>
      <protection locked="0"/>
    </xf>
    <xf numFmtId="168" fontId="51" fillId="0" borderId="0" xfId="52" applyNumberFormat="1" applyFont="1"/>
    <xf numFmtId="175" fontId="67" fillId="43" borderId="0" xfId="66" applyFont="1" applyFill="1"/>
    <xf numFmtId="44" fontId="67" fillId="43" borderId="0" xfId="50" applyFont="1" applyFill="1"/>
    <xf numFmtId="175" fontId="67" fillId="47" borderId="0" xfId="66" applyFont="1" applyFill="1"/>
    <xf numFmtId="17" fontId="66" fillId="47" borderId="0" xfId="0" applyNumberFormat="1" applyFont="1" applyFill="1" applyAlignment="1" applyProtection="1">
      <alignment horizontal="center"/>
      <protection locked="0"/>
    </xf>
    <xf numFmtId="175" fontId="66" fillId="44" borderId="35" xfId="66" applyFont="1" applyFill="1" applyBorder="1"/>
    <xf numFmtId="175" fontId="67" fillId="43" borderId="37" xfId="66" applyFont="1" applyFill="1" applyBorder="1"/>
    <xf numFmtId="44" fontId="67" fillId="43" borderId="37" xfId="50" applyFont="1" applyFill="1" applyBorder="1"/>
    <xf numFmtId="175" fontId="66" fillId="44" borderId="43" xfId="66" applyFont="1" applyFill="1" applyBorder="1" applyAlignment="1">
      <alignment horizontal="center"/>
    </xf>
    <xf numFmtId="175" fontId="66" fillId="44" borderId="44" xfId="66" applyFont="1" applyFill="1" applyBorder="1" applyAlignment="1">
      <alignment horizontal="center"/>
    </xf>
    <xf numFmtId="175" fontId="66" fillId="43" borderId="0" xfId="66" applyFont="1" applyFill="1" applyAlignment="1">
      <alignment horizontal="center"/>
    </xf>
    <xf numFmtId="44" fontId="66" fillId="43" borderId="0" xfId="50" applyFont="1" applyFill="1" applyAlignment="1">
      <alignment horizontal="center"/>
    </xf>
    <xf numFmtId="175" fontId="66" fillId="0" borderId="44" xfId="66" applyFont="1" applyBorder="1" applyAlignment="1">
      <alignment horizontal="center"/>
    </xf>
    <xf numFmtId="164" fontId="67" fillId="0" borderId="0" xfId="66" applyNumberFormat="1" applyFont="1"/>
    <xf numFmtId="175" fontId="67" fillId="0" borderId="0" xfId="66" applyFont="1"/>
    <xf numFmtId="175" fontId="66" fillId="0" borderId="43" xfId="66" applyFont="1" applyBorder="1" applyAlignment="1">
      <alignment wrapText="1"/>
    </xf>
    <xf numFmtId="175" fontId="66" fillId="0" borderId="20" xfId="66" applyFont="1" applyBorder="1"/>
    <xf numFmtId="43" fontId="14" fillId="0" borderId="24" xfId="0" applyNumberFormat="1" applyFont="1" applyBorder="1" applyAlignment="1">
      <alignment horizontal="right"/>
    </xf>
    <xf numFmtId="175" fontId="14" fillId="47" borderId="13" xfId="0" applyFont="1" applyFill="1" applyBorder="1"/>
    <xf numFmtId="6" fontId="35" fillId="0" borderId="11" xfId="67" applyNumberFormat="1" applyFont="1" applyBorder="1" applyAlignment="1" applyProtection="1">
      <alignment horizontal="center"/>
      <protection locked="0"/>
    </xf>
    <xf numFmtId="4" fontId="14" fillId="0" borderId="24" xfId="0" applyNumberFormat="1" applyFont="1" applyBorder="1" applyAlignment="1">
      <alignment horizontal="right"/>
    </xf>
    <xf numFmtId="4" fontId="14" fillId="0" borderId="25" xfId="0" applyNumberFormat="1" applyFont="1" applyBorder="1" applyAlignment="1">
      <alignment horizontal="right"/>
    </xf>
    <xf numFmtId="2" fontId="14" fillId="0" borderId="24" xfId="0" applyNumberFormat="1" applyFont="1" applyBorder="1" applyAlignment="1">
      <alignment horizontal="right"/>
    </xf>
    <xf numFmtId="2" fontId="14" fillId="0" borderId="29" xfId="0" applyNumberFormat="1" applyFont="1" applyBorder="1" applyAlignment="1">
      <alignment horizontal="right"/>
    </xf>
    <xf numFmtId="165" fontId="14" fillId="0" borderId="32" xfId="0" applyNumberFormat="1" applyFont="1" applyBorder="1" applyAlignment="1">
      <alignment horizontal="right"/>
    </xf>
    <xf numFmtId="165" fontId="14" fillId="0" borderId="25" xfId="0" applyNumberFormat="1" applyFont="1" applyBorder="1" applyAlignment="1">
      <alignment horizontal="right"/>
    </xf>
    <xf numFmtId="175" fontId="69" fillId="0" borderId="0" xfId="0" applyFont="1" applyAlignment="1">
      <alignment vertical="center"/>
    </xf>
    <xf numFmtId="164" fontId="15" fillId="0" borderId="37" xfId="66" applyNumberFormat="1" applyFont="1" applyBorder="1" applyAlignment="1">
      <alignment horizontal="center"/>
    </xf>
    <xf numFmtId="175" fontId="14" fillId="0" borderId="0" xfId="66" applyAlignment="1">
      <alignment horizontal="center"/>
    </xf>
    <xf numFmtId="2" fontId="14" fillId="0" borderId="24" xfId="0" applyNumberFormat="1" applyFont="1" applyBorder="1"/>
    <xf numFmtId="2" fontId="14" fillId="0" borderId="25" xfId="0" applyNumberFormat="1" applyFont="1" applyBorder="1" applyAlignment="1">
      <alignment horizontal="right"/>
    </xf>
    <xf numFmtId="2" fontId="14" fillId="0" borderId="32" xfId="0" applyNumberFormat="1" applyFont="1" applyBorder="1" applyAlignment="1">
      <alignment horizontal="right"/>
    </xf>
    <xf numFmtId="2" fontId="14" fillId="0" borderId="29" xfId="0" applyNumberFormat="1" applyFont="1" applyBorder="1"/>
    <xf numFmtId="175" fontId="15" fillId="47" borderId="0" xfId="66" applyFont="1" applyFill="1" applyAlignment="1" applyProtection="1">
      <alignment horizontal="center"/>
      <protection locked="0"/>
    </xf>
    <xf numFmtId="171" fontId="15" fillId="47" borderId="0" xfId="0" applyNumberFormat="1" applyFont="1" applyFill="1" applyAlignment="1" applyProtection="1">
      <alignment horizontal="center"/>
      <protection locked="0"/>
    </xf>
    <xf numFmtId="175" fontId="69" fillId="0" borderId="0" xfId="0" applyFont="1" applyProtection="1">
      <protection locked="0"/>
    </xf>
    <xf numFmtId="175" fontId="69" fillId="0" borderId="0" xfId="0" applyFont="1"/>
    <xf numFmtId="175" fontId="69" fillId="0" borderId="0" xfId="0" applyFont="1" applyAlignment="1">
      <alignment vertical="top"/>
    </xf>
    <xf numFmtId="175" fontId="71" fillId="0" borderId="0" xfId="0" applyFont="1" applyAlignment="1" applyProtection="1">
      <alignment horizontal="left"/>
      <protection locked="0"/>
    </xf>
    <xf numFmtId="175" fontId="71" fillId="0" borderId="0" xfId="0" applyFont="1" applyAlignment="1">
      <alignment horizontal="left" vertical="top"/>
    </xf>
    <xf numFmtId="4" fontId="14" fillId="0" borderId="0" xfId="66" applyNumberFormat="1" applyProtection="1">
      <protection locked="0"/>
    </xf>
    <xf numFmtId="175" fontId="66" fillId="0" borderId="0" xfId="66" applyFont="1" applyAlignment="1">
      <alignment wrapText="1"/>
    </xf>
    <xf numFmtId="164" fontId="66" fillId="43" borderId="0" xfId="66" applyNumberFormat="1" applyFont="1" applyFill="1"/>
    <xf numFmtId="164" fontId="66" fillId="0" borderId="0" xfId="66" applyNumberFormat="1" applyFont="1" applyAlignment="1">
      <alignment horizontal="right"/>
    </xf>
    <xf numFmtId="165" fontId="14" fillId="0" borderId="24" xfId="0" applyNumberFormat="1" applyFont="1" applyBorder="1" applyAlignment="1">
      <alignment horizontal="right"/>
    </xf>
    <xf numFmtId="165" fontId="14" fillId="0" borderId="30" xfId="0" applyNumberFormat="1" applyFont="1" applyBorder="1" applyAlignment="1">
      <alignment horizontal="right"/>
    </xf>
    <xf numFmtId="39" fontId="15" fillId="0" borderId="11" xfId="0" applyNumberFormat="1" applyFont="1" applyBorder="1" applyAlignment="1">
      <alignment horizontal="center"/>
    </xf>
    <xf numFmtId="6" fontId="14" fillId="0" borderId="0" xfId="66" applyNumberFormat="1" applyAlignment="1" applyProtection="1">
      <alignment horizontal="center"/>
      <protection locked="0"/>
    </xf>
    <xf numFmtId="40" fontId="14" fillId="0" borderId="24" xfId="0" applyNumberFormat="1" applyFont="1" applyBorder="1" applyAlignment="1">
      <alignment horizontal="right"/>
    </xf>
    <xf numFmtId="40" fontId="14" fillId="0" borderId="25" xfId="0" applyNumberFormat="1" applyFont="1" applyBorder="1" applyAlignment="1">
      <alignment horizontal="right"/>
    </xf>
    <xf numFmtId="175" fontId="15" fillId="0" borderId="14" xfId="66" applyFont="1" applyBorder="1" applyAlignment="1" applyProtection="1">
      <alignment horizontal="right"/>
      <protection locked="0"/>
    </xf>
    <xf numFmtId="175" fontId="15" fillId="0" borderId="14" xfId="66" quotePrefix="1" applyFont="1" applyBorder="1" applyAlignment="1" applyProtection="1">
      <alignment horizontal="right"/>
      <protection locked="0"/>
    </xf>
    <xf numFmtId="6" fontId="51" fillId="0" borderId="0" xfId="520" applyNumberFormat="1" applyFont="1"/>
    <xf numFmtId="175" fontId="69" fillId="47" borderId="0" xfId="66" applyFont="1" applyFill="1" applyProtection="1">
      <protection locked="0"/>
    </xf>
    <xf numFmtId="0" fontId="51" fillId="0" borderId="0" xfId="520" applyFont="1"/>
    <xf numFmtId="0" fontId="14" fillId="0" borderId="0" xfId="522"/>
    <xf numFmtId="0" fontId="51" fillId="47" borderId="0" xfId="520" applyFont="1" applyFill="1"/>
    <xf numFmtId="168" fontId="51" fillId="0" borderId="0" xfId="520" applyNumberFormat="1" applyFont="1"/>
    <xf numFmtId="4" fontId="14" fillId="0" borderId="30" xfId="0" applyNumberFormat="1" applyFont="1" applyBorder="1" applyAlignment="1">
      <alignment horizontal="right"/>
    </xf>
    <xf numFmtId="175" fontId="35" fillId="0" borderId="0" xfId="67" applyFont="1"/>
    <xf numFmtId="3" fontId="54" fillId="47" borderId="21" xfId="0" applyNumberFormat="1" applyFont="1" applyFill="1" applyBorder="1" applyAlignment="1">
      <alignment horizontal="center"/>
    </xf>
    <xf numFmtId="175" fontId="14" fillId="47" borderId="17" xfId="0" applyFont="1" applyFill="1" applyBorder="1" applyProtection="1">
      <protection locked="0"/>
    </xf>
    <xf numFmtId="175" fontId="14" fillId="47" borderId="13" xfId="0" applyFont="1" applyFill="1" applyBorder="1" applyProtection="1">
      <protection locked="0"/>
    </xf>
    <xf numFmtId="175" fontId="15" fillId="0" borderId="34" xfId="0" applyFont="1" applyBorder="1" applyAlignment="1">
      <alignment horizontal="center"/>
    </xf>
    <xf numFmtId="3" fontId="14" fillId="0" borderId="11" xfId="0" applyNumberFormat="1" applyFont="1" applyBorder="1" applyAlignment="1">
      <alignment horizontal="left" vertical="center" wrapText="1"/>
    </xf>
    <xf numFmtId="175" fontId="35" fillId="0" borderId="11" xfId="0" applyFont="1" applyBorder="1" applyAlignment="1" applyProtection="1">
      <alignment horizontal="left"/>
      <protection locked="0"/>
    </xf>
    <xf numFmtId="175" fontId="35" fillId="47" borderId="11" xfId="0" applyFont="1" applyFill="1" applyBorder="1" applyAlignment="1" applyProtection="1">
      <alignment horizontal="left"/>
      <protection locked="0"/>
    </xf>
    <xf numFmtId="44" fontId="67" fillId="0" borderId="0" xfId="50" applyFont="1"/>
    <xf numFmtId="0" fontId="74" fillId="0" borderId="0" xfId="520" applyFont="1"/>
    <xf numFmtId="0" fontId="74" fillId="0" borderId="27" xfId="520" applyFont="1" applyBorder="1" applyAlignment="1">
      <alignment horizontal="center" vertical="center"/>
    </xf>
    <xf numFmtId="0" fontId="75" fillId="0" borderId="14" xfId="520" applyFont="1" applyBorder="1" applyAlignment="1">
      <alignment horizontal="center" vertical="center" wrapText="1"/>
    </xf>
    <xf numFmtId="6" fontId="74" fillId="0" borderId="0" xfId="520" applyNumberFormat="1" applyFont="1"/>
    <xf numFmtId="6" fontId="74" fillId="0" borderId="14" xfId="520" applyNumberFormat="1" applyFont="1" applyBorder="1"/>
    <xf numFmtId="0" fontId="74" fillId="46" borderId="0" xfId="520" applyFont="1" applyFill="1"/>
    <xf numFmtId="0" fontId="77" fillId="0" borderId="0" xfId="520" applyFont="1"/>
    <xf numFmtId="6" fontId="75" fillId="0" borderId="0" xfId="520" applyNumberFormat="1" applyFont="1"/>
    <xf numFmtId="165" fontId="16" fillId="47" borderId="0" xfId="0" applyNumberFormat="1" applyFont="1" applyFill="1" applyProtection="1">
      <protection locked="0"/>
    </xf>
    <xf numFmtId="6" fontId="74" fillId="0" borderId="41" xfId="520" applyNumberFormat="1" applyFont="1" applyBorder="1"/>
    <xf numFmtId="6" fontId="74" fillId="0" borderId="16" xfId="520" applyNumberFormat="1" applyFont="1" applyBorder="1"/>
    <xf numFmtId="0" fontId="74" fillId="0" borderId="17" xfId="520" applyFont="1" applyBorder="1"/>
    <xf numFmtId="0" fontId="75" fillId="0" borderId="22" xfId="520" applyFont="1" applyBorder="1"/>
    <xf numFmtId="175" fontId="14" fillId="0" borderId="55" xfId="66" applyBorder="1" applyProtection="1">
      <protection locked="0"/>
    </xf>
    <xf numFmtId="175" fontId="14" fillId="0" borderId="56" xfId="66" applyBorder="1" applyProtection="1">
      <protection locked="0"/>
    </xf>
    <xf numFmtId="175" fontId="14" fillId="0" borderId="57" xfId="66" applyBorder="1" applyProtection="1">
      <protection locked="0"/>
    </xf>
    <xf numFmtId="175" fontId="16" fillId="0" borderId="20" xfId="0" applyFont="1" applyBorder="1" applyAlignment="1" applyProtection="1">
      <alignment horizontal="left"/>
      <protection locked="0"/>
    </xf>
    <xf numFmtId="175" fontId="35" fillId="0" borderId="15" xfId="0" applyFont="1" applyBorder="1" applyAlignment="1" applyProtection="1">
      <alignment horizontal="center" wrapText="1"/>
      <protection locked="0"/>
    </xf>
    <xf numFmtId="166" fontId="16" fillId="0" borderId="11" xfId="46" applyNumberFormat="1" applyFont="1" applyBorder="1" applyAlignment="1" applyProtection="1">
      <alignment horizontal="right"/>
      <protection locked="0"/>
    </xf>
    <xf numFmtId="175" fontId="15" fillId="0" borderId="58" xfId="66" applyFont="1" applyBorder="1" applyProtection="1">
      <protection locked="0"/>
    </xf>
    <xf numFmtId="175" fontId="15" fillId="0" borderId="34" xfId="66" applyFont="1" applyBorder="1" applyProtection="1">
      <protection locked="0"/>
    </xf>
    <xf numFmtId="175" fontId="17" fillId="0" borderId="17" xfId="66" applyFont="1" applyBorder="1" applyAlignment="1">
      <alignment wrapText="1"/>
    </xf>
    <xf numFmtId="175" fontId="14" fillId="0" borderId="17" xfId="66" applyBorder="1" applyAlignment="1">
      <alignment horizontal="left" indent="1"/>
    </xf>
    <xf numFmtId="175" fontId="14" fillId="47" borderId="17" xfId="66" applyFill="1" applyBorder="1" applyAlignment="1">
      <alignment horizontal="left" indent="1"/>
    </xf>
    <xf numFmtId="175" fontId="15" fillId="0" borderId="20" xfId="66" applyFont="1" applyBorder="1"/>
    <xf numFmtId="175" fontId="15" fillId="0" borderId="17" xfId="66" applyFont="1" applyBorder="1"/>
    <xf numFmtId="175" fontId="14" fillId="0" borderId="17" xfId="66" quotePrefix="1" applyBorder="1" applyAlignment="1">
      <alignment horizontal="left" indent="1"/>
    </xf>
    <xf numFmtId="175" fontId="15" fillId="0" borderId="20" xfId="66" applyFont="1" applyBorder="1" applyAlignment="1">
      <alignment wrapText="1"/>
    </xf>
    <xf numFmtId="175" fontId="15" fillId="0" borderId="22" xfId="66" applyFont="1" applyBorder="1" applyAlignment="1" applyProtection="1">
      <alignment wrapText="1"/>
      <protection locked="0"/>
    </xf>
    <xf numFmtId="0" fontId="76" fillId="49" borderId="18" xfId="520" applyFont="1" applyFill="1" applyBorder="1"/>
    <xf numFmtId="175" fontId="66" fillId="47" borderId="40" xfId="66" applyFont="1" applyFill="1" applyBorder="1" applyAlignment="1">
      <alignment horizontal="center"/>
    </xf>
    <xf numFmtId="175" fontId="67" fillId="0" borderId="40" xfId="66" applyFont="1" applyBorder="1"/>
    <xf numFmtId="175" fontId="67" fillId="47" borderId="40" xfId="66" applyFont="1" applyFill="1" applyBorder="1"/>
    <xf numFmtId="175" fontId="14" fillId="47" borderId="13" xfId="66" applyFill="1" applyBorder="1" applyProtection="1">
      <protection locked="0"/>
    </xf>
    <xf numFmtId="6" fontId="74" fillId="0" borderId="13" xfId="520" applyNumberFormat="1" applyFont="1" applyBorder="1"/>
    <xf numFmtId="175" fontId="62" fillId="0" borderId="0" xfId="66" applyFont="1" applyProtection="1">
      <protection locked="0"/>
    </xf>
    <xf numFmtId="175" fontId="14" fillId="0" borderId="17" xfId="66" applyBorder="1"/>
    <xf numFmtId="175" fontId="14" fillId="47" borderId="17" xfId="0" applyFont="1" applyFill="1" applyBorder="1" applyAlignment="1">
      <alignment horizontal="left"/>
    </xf>
    <xf numFmtId="175" fontId="66" fillId="0" borderId="52" xfId="66" applyFont="1" applyBorder="1"/>
    <xf numFmtId="175" fontId="15" fillId="0" borderId="54" xfId="66" applyFont="1" applyBorder="1" applyAlignment="1">
      <alignment horizontal="center"/>
    </xf>
    <xf numFmtId="175" fontId="15" fillId="0" borderId="54" xfId="66" applyFont="1" applyBorder="1" applyAlignment="1">
      <alignment horizontal="left"/>
    </xf>
    <xf numFmtId="175" fontId="14" fillId="0" borderId="54" xfId="66" applyBorder="1"/>
    <xf numFmtId="175" fontId="15" fillId="0" borderId="54" xfId="66" applyFont="1" applyBorder="1"/>
    <xf numFmtId="175" fontId="15" fillId="0" borderId="54" xfId="66" applyFont="1" applyBorder="1" applyAlignment="1">
      <alignment horizontal="left" indent="1"/>
    </xf>
    <xf numFmtId="175" fontId="15" fillId="0" borderId="54" xfId="66" applyFont="1" applyBorder="1" applyAlignment="1">
      <alignment horizontal="center" wrapText="1"/>
    </xf>
    <xf numFmtId="175" fontId="15" fillId="0" borderId="61" xfId="66" applyFont="1" applyBorder="1" applyAlignment="1">
      <alignment wrapText="1"/>
    </xf>
    <xf numFmtId="175" fontId="63" fillId="0" borderId="0" xfId="66" applyFont="1" applyProtection="1">
      <protection locked="0"/>
    </xf>
    <xf numFmtId="43" fontId="14" fillId="50" borderId="27" xfId="46" quotePrefix="1" applyFill="1" applyBorder="1" applyAlignment="1">
      <alignment horizontal="left"/>
    </xf>
    <xf numFmtId="43" fontId="14" fillId="50" borderId="48" xfId="46" quotePrefix="1" applyFill="1" applyBorder="1" applyAlignment="1">
      <alignment horizontal="left"/>
    </xf>
    <xf numFmtId="43" fontId="14" fillId="50" borderId="0" xfId="46" quotePrefix="1" applyFill="1" applyAlignment="1">
      <alignment horizontal="left"/>
    </xf>
    <xf numFmtId="43" fontId="14" fillId="50" borderId="41" xfId="46" quotePrefix="1" applyFill="1" applyBorder="1" applyAlignment="1">
      <alignment horizontal="left"/>
    </xf>
    <xf numFmtId="43" fontId="14" fillId="50" borderId="14" xfId="46" quotePrefix="1" applyFill="1" applyBorder="1" applyAlignment="1">
      <alignment horizontal="left"/>
    </xf>
    <xf numFmtId="43" fontId="14" fillId="50" borderId="16" xfId="46" quotePrefix="1" applyFill="1" applyBorder="1" applyAlignment="1">
      <alignment horizontal="left"/>
    </xf>
    <xf numFmtId="43" fontId="14" fillId="50" borderId="0" xfId="46" quotePrefix="1" applyFill="1" applyAlignment="1">
      <alignment horizontal="center"/>
    </xf>
    <xf numFmtId="3" fontId="15" fillId="47" borderId="18" xfId="0" applyNumberFormat="1" applyFont="1" applyFill="1" applyBorder="1" applyAlignment="1">
      <alignment horizontal="center" wrapText="1"/>
    </xf>
    <xf numFmtId="175" fontId="15"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5" fillId="47" borderId="0" xfId="0" applyFont="1" applyFill="1" applyProtection="1">
      <protection locked="0"/>
    </xf>
    <xf numFmtId="43" fontId="14" fillId="0" borderId="0" xfId="46" applyProtection="1">
      <protection locked="0"/>
    </xf>
    <xf numFmtId="2" fontId="16" fillId="0" borderId="0" xfId="0" applyNumberFormat="1" applyFont="1" applyProtection="1">
      <protection locked="0"/>
    </xf>
    <xf numFmtId="175" fontId="15" fillId="47" borderId="0" xfId="782" applyFont="1" applyFill="1" applyAlignment="1">
      <alignment vertical="center"/>
    </xf>
    <xf numFmtId="0" fontId="16" fillId="0" borderId="11" xfId="67" applyNumberFormat="1" applyBorder="1" applyAlignment="1">
      <alignment horizontal="center" vertical="center" wrapText="1"/>
    </xf>
    <xf numFmtId="6" fontId="16" fillId="0" borderId="11" xfId="67" applyNumberFormat="1" applyBorder="1" applyAlignment="1">
      <alignment horizontal="center" vertical="center" wrapText="1"/>
    </xf>
    <xf numFmtId="175" fontId="16" fillId="0" borderId="11" xfId="67" applyBorder="1" applyAlignment="1">
      <alignment horizontal="left" vertical="center" wrapText="1"/>
    </xf>
    <xf numFmtId="14" fontId="16" fillId="0" borderId="11" xfId="67" applyNumberFormat="1" applyBorder="1" applyAlignment="1">
      <alignment horizontal="center" vertical="center" wrapText="1"/>
    </xf>
    <xf numFmtId="175" fontId="35" fillId="0" borderId="0" xfId="67" applyFont="1" applyAlignment="1">
      <alignment horizontal="center" vertical="center"/>
    </xf>
    <xf numFmtId="0" fontId="16" fillId="0" borderId="11" xfId="67" applyNumberFormat="1" applyBorder="1" applyAlignment="1" applyProtection="1">
      <alignment horizontal="center" vertical="center"/>
      <protection locked="0"/>
    </xf>
    <xf numFmtId="6" fontId="16" fillId="0" borderId="11" xfId="67" applyNumberFormat="1" applyBorder="1" applyAlignment="1" applyProtection="1">
      <alignment horizontal="center" vertical="center"/>
      <protection locked="0"/>
    </xf>
    <xf numFmtId="175" fontId="16" fillId="0" borderId="0" xfId="67" applyAlignment="1" applyProtection="1">
      <alignment vertical="center"/>
      <protection locked="0"/>
    </xf>
    <xf numFmtId="175" fontId="16" fillId="0" borderId="11" xfId="67" applyBorder="1" applyAlignment="1">
      <alignment horizontal="center" vertical="center" wrapText="1"/>
    </xf>
    <xf numFmtId="175" fontId="16" fillId="0" borderId="11" xfId="67" applyBorder="1" applyAlignment="1" applyProtection="1">
      <alignment horizontal="center" vertical="center" wrapText="1"/>
      <protection locked="0"/>
    </xf>
    <xf numFmtId="175" fontId="16" fillId="0" borderId="0" xfId="0" applyFont="1" applyAlignment="1">
      <alignment horizontal="center"/>
    </xf>
    <xf numFmtId="172" fontId="14" fillId="0" borderId="0" xfId="0" applyNumberFormat="1" applyFont="1"/>
    <xf numFmtId="175" fontId="40" fillId="0" borderId="0" xfId="0" applyFont="1"/>
    <xf numFmtId="3" fontId="40" fillId="0" borderId="0" xfId="0" applyNumberFormat="1" applyFont="1"/>
    <xf numFmtId="175" fontId="16" fillId="47" borderId="0" xfId="0" applyFont="1" applyFill="1" applyAlignment="1">
      <alignment horizontal="center"/>
    </xf>
    <xf numFmtId="0" fontId="14" fillId="0" borderId="0" xfId="66" applyNumberFormat="1"/>
    <xf numFmtId="175" fontId="14" fillId="47" borderId="0" xfId="66" applyFont="1" applyFill="1" applyAlignment="1" applyProtection="1">
      <alignment horizontal="center"/>
      <protection locked="0"/>
    </xf>
    <xf numFmtId="175" fontId="14" fillId="47" borderId="0" xfId="66" applyFont="1" applyFill="1" applyProtection="1">
      <protection locked="0"/>
    </xf>
    <xf numFmtId="171" fontId="14" fillId="47" borderId="0" xfId="66" applyNumberFormat="1" applyFont="1" applyFill="1" applyAlignment="1" applyProtection="1">
      <alignment horizontal="center"/>
      <protection locked="0"/>
    </xf>
    <xf numFmtId="175" fontId="14" fillId="0" borderId="0" xfId="66" applyBorder="1"/>
    <xf numFmtId="175" fontId="15" fillId="44" borderId="53" xfId="66" applyFont="1" applyFill="1" applyBorder="1" applyAlignment="1">
      <alignment horizontal="center"/>
    </xf>
    <xf numFmtId="175" fontId="15" fillId="0" borderId="53" xfId="0" applyFont="1" applyBorder="1" applyAlignment="1">
      <alignment wrapText="1"/>
    </xf>
    <xf numFmtId="175" fontId="15" fillId="0" borderId="60" xfId="66" applyFont="1" applyBorder="1" applyAlignment="1">
      <alignment horizontal="left"/>
    </xf>
    <xf numFmtId="175" fontId="15" fillId="0" borderId="20" xfId="66" applyFont="1" applyBorder="1" applyAlignment="1" applyProtection="1">
      <alignment horizontal="center"/>
      <protection locked="0"/>
    </xf>
    <xf numFmtId="6" fontId="74" fillId="0" borderId="0" xfId="520" applyNumberFormat="1" applyFont="1" applyBorder="1"/>
    <xf numFmtId="0" fontId="74" fillId="0" borderId="0" xfId="520" applyFont="1" applyBorder="1"/>
    <xf numFmtId="0" fontId="75" fillId="0" borderId="21" xfId="520" applyFont="1" applyBorder="1"/>
    <xf numFmtId="164" fontId="67" fillId="0" borderId="27"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5" fillId="0" borderId="20" xfId="66" applyFont="1" applyBorder="1" applyAlignment="1" applyProtection="1">
      <alignment horizontal="right"/>
      <protection locked="0"/>
    </xf>
    <xf numFmtId="6" fontId="14" fillId="0" borderId="22" xfId="66" applyNumberFormat="1" applyBorder="1" applyAlignment="1">
      <alignment horizontal="right"/>
    </xf>
    <xf numFmtId="0" fontId="15" fillId="0" borderId="0" xfId="522" applyFont="1" applyAlignment="1" applyProtection="1">
      <alignment horizontal="center"/>
      <protection locked="0"/>
    </xf>
    <xf numFmtId="17" fontId="15" fillId="47" borderId="0" xfId="522" quotePrefix="1" applyNumberFormat="1" applyFont="1" applyFill="1" applyAlignment="1" applyProtection="1">
      <alignment horizontal="center"/>
      <protection locked="0"/>
    </xf>
    <xf numFmtId="0" fontId="55" fillId="49" borderId="18" xfId="520" applyFont="1" applyFill="1" applyBorder="1"/>
    <xf numFmtId="0" fontId="15" fillId="0" borderId="18" xfId="520" applyFont="1" applyBorder="1" applyAlignment="1">
      <alignment horizontal="center"/>
    </xf>
    <xf numFmtId="0" fontId="15" fillId="0" borderId="14" xfId="520" applyFont="1" applyBorder="1" applyAlignment="1">
      <alignment horizontal="center"/>
    </xf>
    <xf numFmtId="0" fontId="15" fillId="0" borderId="21" xfId="520" applyFont="1" applyBorder="1" applyAlignment="1">
      <alignment wrapText="1"/>
    </xf>
    <xf numFmtId="0" fontId="14" fillId="0" borderId="17" xfId="520" applyFont="1" applyBorder="1" applyAlignment="1">
      <alignment horizontal="left" indent="2"/>
    </xf>
    <xf numFmtId="0" fontId="14" fillId="0" borderId="17" xfId="520" applyFont="1" applyBorder="1" applyAlignment="1">
      <alignment horizontal="left" wrapText="1" indent="2"/>
    </xf>
    <xf numFmtId="0" fontId="14" fillId="47" borderId="17" xfId="520" applyFont="1" applyFill="1" applyBorder="1" applyAlignment="1">
      <alignment horizontal="left" wrapText="1" indent="2"/>
    </xf>
    <xf numFmtId="0" fontId="86" fillId="0" borderId="17" xfId="520" applyFont="1" applyBorder="1"/>
    <xf numFmtId="0" fontId="55" fillId="49" borderId="20" xfId="520" applyFont="1" applyFill="1" applyBorder="1"/>
    <xf numFmtId="0" fontId="55" fillId="0" borderId="21" xfId="520" applyFont="1" applyBorder="1"/>
    <xf numFmtId="3" fontId="46" fillId="0" borderId="17" xfId="0" applyNumberFormat="1" applyFont="1" applyFill="1" applyBorder="1" applyAlignment="1" applyProtection="1">
      <alignment horizontal="center"/>
      <protection locked="0"/>
    </xf>
    <xf numFmtId="175" fontId="15" fillId="47" borderId="0" xfId="0" applyFont="1" applyFill="1" applyAlignment="1" applyProtection="1">
      <alignment wrapText="1"/>
      <protection locked="0"/>
    </xf>
    <xf numFmtId="175" fontId="15" fillId="0" borderId="11" xfId="0" applyFont="1" applyBorder="1" applyAlignment="1">
      <alignment horizontal="center"/>
    </xf>
    <xf numFmtId="175" fontId="0" fillId="0" borderId="48" xfId="0" applyBorder="1"/>
    <xf numFmtId="2" fontId="40" fillId="0" borderId="0" xfId="0" applyNumberFormat="1" applyFont="1" applyProtection="1">
      <protection locked="0"/>
    </xf>
    <xf numFmtId="175" fontId="14" fillId="0" borderId="0" xfId="0" applyFont="1" applyFill="1" applyBorder="1"/>
    <xf numFmtId="175" fontId="14" fillId="0" borderId="0" xfId="0" applyFont="1" applyFill="1" applyBorder="1" applyProtection="1">
      <protection locked="0"/>
    </xf>
    <xf numFmtId="2" fontId="14" fillId="0" borderId="0" xfId="0" applyNumberFormat="1" applyFont="1" applyFill="1" applyBorder="1" applyProtection="1">
      <protection locked="0"/>
    </xf>
    <xf numFmtId="1" fontId="14" fillId="0" borderId="0" xfId="0" applyNumberFormat="1" applyFont="1" applyFill="1" applyBorder="1" applyProtection="1">
      <protection locked="0"/>
    </xf>
    <xf numFmtId="1" fontId="14" fillId="0" borderId="67" xfId="0" applyNumberFormat="1" applyFont="1" applyFill="1" applyBorder="1" applyProtection="1">
      <protection locked="0"/>
    </xf>
    <xf numFmtId="175" fontId="14" fillId="0" borderId="0" xfId="0" applyFont="1" applyAlignment="1" applyProtection="1">
      <alignment vertical="top"/>
      <protection locked="0"/>
    </xf>
    <xf numFmtId="175" fontId="14"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66"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7" fillId="0" borderId="67" xfId="0" applyNumberFormat="1" applyFont="1" applyFill="1" applyBorder="1"/>
    <xf numFmtId="175" fontId="57" fillId="0" borderId="68" xfId="0" applyFont="1" applyFill="1" applyBorder="1"/>
    <xf numFmtId="175" fontId="57" fillId="0" borderId="68" xfId="0" applyFont="1" applyFill="1" applyBorder="1" applyProtection="1">
      <protection locked="0"/>
    </xf>
    <xf numFmtId="176" fontId="14" fillId="0" borderId="0" xfId="0" applyNumberFormat="1" applyFont="1" applyFill="1" applyBorder="1" applyProtection="1">
      <protection locked="0"/>
    </xf>
    <xf numFmtId="0" fontId="14" fillId="0" borderId="0" xfId="0" applyNumberFormat="1" applyFont="1" applyFill="1" applyAlignment="1" applyProtection="1">
      <alignment vertical="top"/>
      <protection locked="0"/>
    </xf>
    <xf numFmtId="0" fontId="2" fillId="0" borderId="0" xfId="888"/>
    <xf numFmtId="0" fontId="15" fillId="0" borderId="14" xfId="520" quotePrefix="1" applyNumberFormat="1" applyFont="1" applyBorder="1" applyAlignment="1">
      <alignment horizontal="center"/>
    </xf>
    <xf numFmtId="1" fontId="14" fillId="0" borderId="0" xfId="0" applyNumberFormat="1" applyFont="1" applyProtection="1">
      <protection locked="0"/>
    </xf>
    <xf numFmtId="175" fontId="67" fillId="47" borderId="40" xfId="0" applyFont="1" applyFill="1" applyBorder="1"/>
    <xf numFmtId="175" fontId="67" fillId="0" borderId="0" xfId="0" applyFont="1" applyFill="1" applyBorder="1" applyAlignment="1">
      <alignment horizontal="left"/>
    </xf>
    <xf numFmtId="175" fontId="66" fillId="0" borderId="70" xfId="66" applyFont="1" applyBorder="1" applyAlignment="1">
      <alignment horizontal="left" wrapText="1" indent="1"/>
    </xf>
    <xf numFmtId="175" fontId="44" fillId="0" borderId="0" xfId="66" applyFont="1" applyFill="1"/>
    <xf numFmtId="3" fontId="14" fillId="47" borderId="41" xfId="0" applyNumberFormat="1" applyFont="1" applyFill="1" applyBorder="1" applyAlignment="1" applyProtection="1">
      <alignment wrapText="1"/>
      <protection locked="0"/>
    </xf>
    <xf numFmtId="165" fontId="14" fillId="47" borderId="0" xfId="0" applyNumberFormat="1" applyFont="1" applyFill="1" applyProtection="1">
      <protection locked="0"/>
    </xf>
    <xf numFmtId="172" fontId="16" fillId="47" borderId="11" xfId="46" applyNumberFormat="1" applyFont="1" applyFill="1" applyBorder="1" applyAlignment="1">
      <alignment horizontal="right"/>
    </xf>
    <xf numFmtId="3" fontId="14" fillId="0" borderId="71" xfId="0" applyNumberFormat="1" applyFont="1" applyBorder="1" applyAlignment="1">
      <alignment horizontal="left" vertical="center" wrapText="1"/>
    </xf>
    <xf numFmtId="175" fontId="0" fillId="0" borderId="0" xfId="0" applyBorder="1"/>
    <xf numFmtId="175" fontId="69" fillId="0" borderId="0" xfId="66" applyFont="1" applyAlignment="1">
      <alignment wrapText="1"/>
    </xf>
    <xf numFmtId="164" fontId="15" fillId="0" borderId="0" xfId="66" applyNumberFormat="1" applyFont="1" applyBorder="1"/>
    <xf numFmtId="175" fontId="69" fillId="0" borderId="0" xfId="66" applyFont="1" applyBorder="1" applyAlignment="1">
      <alignment wrapText="1"/>
    </xf>
    <xf numFmtId="3" fontId="14" fillId="0" borderId="0" xfId="0" applyNumberFormat="1" applyFont="1" applyBorder="1" applyAlignment="1">
      <alignment horizontal="left" vertical="center" wrapText="1"/>
    </xf>
    <xf numFmtId="175" fontId="35" fillId="0" borderId="13" xfId="0" applyFont="1" applyBorder="1" applyAlignment="1">
      <alignment horizontal="center" wrapText="1"/>
    </xf>
    <xf numFmtId="175" fontId="35" fillId="0" borderId="15" xfId="0" applyFont="1" applyBorder="1" applyAlignment="1">
      <alignment horizontal="center" wrapText="1"/>
    </xf>
    <xf numFmtId="175" fontId="15" fillId="0" borderId="11" xfId="0" quotePrefix="1" applyFont="1" applyBorder="1" applyAlignment="1">
      <alignment horizontal="center"/>
    </xf>
    <xf numFmtId="175" fontId="14" fillId="0" borderId="11" xfId="0" applyFont="1" applyBorder="1" applyAlignment="1">
      <alignment vertical="center"/>
    </xf>
    <xf numFmtId="2" fontId="14" fillId="0" borderId="19" xfId="0" applyNumberFormat="1" applyFont="1" applyBorder="1" applyAlignment="1">
      <alignment vertical="center"/>
    </xf>
    <xf numFmtId="3" fontId="14" fillId="52" borderId="19" xfId="0" applyNumberFormat="1" applyFont="1" applyFill="1" applyBorder="1" applyAlignment="1">
      <alignment horizontal="center" vertical="center"/>
    </xf>
    <xf numFmtId="175" fontId="14" fillId="0" borderId="34" xfId="0" applyFont="1" applyBorder="1" applyAlignment="1">
      <alignment vertical="center"/>
    </xf>
    <xf numFmtId="2" fontId="14" fillId="0" borderId="16" xfId="0" applyNumberFormat="1" applyFont="1" applyBorder="1" applyAlignment="1">
      <alignment vertical="center"/>
    </xf>
    <xf numFmtId="3" fontId="14" fillId="52" borderId="16" xfId="0" applyNumberFormat="1" applyFont="1" applyFill="1" applyBorder="1" applyAlignment="1">
      <alignment horizontal="center" vertical="center"/>
    </xf>
    <xf numFmtId="3" fontId="14" fillId="0" borderId="16" xfId="0" applyNumberFormat="1" applyFont="1" applyBorder="1" applyAlignment="1">
      <alignment horizontal="center" vertical="center"/>
    </xf>
    <xf numFmtId="2" fontId="14" fillId="52" borderId="16" xfId="0" applyNumberFormat="1" applyFont="1" applyFill="1" applyBorder="1" applyAlignment="1">
      <alignment vertical="center"/>
    </xf>
    <xf numFmtId="3" fontId="14" fillId="0" borderId="19" xfId="0" applyNumberFormat="1" applyFont="1" applyBorder="1" applyAlignment="1">
      <alignment horizontal="center" vertical="center"/>
    </xf>
    <xf numFmtId="2" fontId="14" fillId="0" borderId="41" xfId="0" applyNumberFormat="1" applyFont="1" applyBorder="1" applyAlignment="1">
      <alignment vertical="center"/>
    </xf>
    <xf numFmtId="175" fontId="14" fillId="0" borderId="0" xfId="0" applyFont="1" applyBorder="1" applyAlignment="1"/>
    <xf numFmtId="175" fontId="16" fillId="47" borderId="11" xfId="0" applyFont="1" applyFill="1" applyBorder="1" applyAlignment="1" applyProtection="1">
      <alignment horizontal="left"/>
      <protection locked="0"/>
    </xf>
    <xf numFmtId="175" fontId="66" fillId="43" borderId="0" xfId="66" applyFont="1" applyFill="1" applyBorder="1" applyAlignment="1">
      <alignment horizontal="center"/>
    </xf>
    <xf numFmtId="175" fontId="70" fillId="0" borderId="0" xfId="67" applyFont="1" applyProtection="1">
      <protection locked="0"/>
    </xf>
    <xf numFmtId="175" fontId="70" fillId="0" borderId="0" xfId="67" quotePrefix="1" applyFont="1" applyProtection="1">
      <protection locked="0"/>
    </xf>
    <xf numFmtId="175" fontId="71" fillId="0" borderId="0" xfId="0" applyFont="1" applyAlignment="1">
      <alignment vertical="center"/>
    </xf>
    <xf numFmtId="175" fontId="69" fillId="47" borderId="0" xfId="782" applyFont="1" applyFill="1" applyAlignment="1">
      <alignment vertical="center"/>
    </xf>
    <xf numFmtId="175" fontId="62" fillId="0" borderId="0" xfId="66" applyFont="1"/>
    <xf numFmtId="175" fontId="62" fillId="0" borderId="0" xfId="0" applyFont="1" applyAlignment="1">
      <alignment vertical="center"/>
    </xf>
    <xf numFmtId="0" fontId="71" fillId="0" borderId="0" xfId="520" applyFont="1"/>
    <xf numFmtId="175" fontId="14" fillId="0" borderId="0" xfId="66" applyBorder="1" applyAlignment="1">
      <alignment horizontal="center"/>
    </xf>
    <xf numFmtId="175" fontId="66" fillId="43" borderId="0" xfId="66" applyFont="1" applyFill="1" applyAlignment="1"/>
    <xf numFmtId="175" fontId="66" fillId="43" borderId="18" xfId="66" applyFont="1" applyFill="1" applyBorder="1" applyAlignment="1">
      <alignment horizontal="right"/>
    </xf>
    <xf numFmtId="44" fontId="66" fillId="43" borderId="18" xfId="50" applyFont="1" applyFill="1" applyBorder="1" applyAlignment="1">
      <alignment horizontal="right"/>
    </xf>
    <xf numFmtId="175" fontId="14" fillId="0" borderId="0" xfId="0" applyFont="1" applyBorder="1" applyAlignment="1">
      <alignment vertical="center"/>
    </xf>
    <xf numFmtId="2" fontId="14" fillId="0" borderId="0" xfId="0" applyNumberFormat="1" applyFont="1" applyBorder="1" applyAlignment="1">
      <alignment vertical="center"/>
    </xf>
    <xf numFmtId="3" fontId="14" fillId="0" borderId="0" xfId="0" applyNumberFormat="1" applyFont="1" applyBorder="1" applyAlignment="1">
      <alignment horizontal="center" vertical="center"/>
    </xf>
    <xf numFmtId="3" fontId="14" fillId="52" borderId="0" xfId="0" applyNumberFormat="1" applyFont="1" applyFill="1" applyBorder="1" applyAlignment="1">
      <alignment horizontal="center" vertical="center"/>
    </xf>
    <xf numFmtId="175" fontId="62" fillId="43" borderId="0" xfId="66" applyFont="1" applyFill="1"/>
    <xf numFmtId="44" fontId="62" fillId="43" borderId="0" xfId="50" applyFont="1" applyFill="1"/>
    <xf numFmtId="44" fontId="67" fillId="47" borderId="0" xfId="50" applyFont="1" applyFill="1"/>
    <xf numFmtId="175" fontId="57" fillId="0" borderId="11" xfId="0" applyFont="1" applyBorder="1" applyAlignment="1">
      <alignment horizontal="right"/>
    </xf>
    <xf numFmtId="14" fontId="57" fillId="0" borderId="11" xfId="0" applyNumberFormat="1" applyFont="1" applyBorder="1" applyAlignment="1">
      <alignment horizontal="right"/>
    </xf>
    <xf numFmtId="175" fontId="15" fillId="0" borderId="72" xfId="66" applyFont="1" applyBorder="1" applyAlignment="1">
      <alignment horizontal="center" wrapText="1"/>
    </xf>
    <xf numFmtId="175" fontId="14" fillId="0" borderId="59" xfId="66" applyBorder="1"/>
    <xf numFmtId="175" fontId="67" fillId="43" borderId="53" xfId="66" applyFont="1" applyFill="1" applyBorder="1"/>
    <xf numFmtId="175" fontId="66" fillId="43" borderId="54" xfId="66" applyFont="1" applyFill="1" applyBorder="1" applyAlignment="1">
      <alignment horizontal="center" wrapText="1"/>
    </xf>
    <xf numFmtId="175" fontId="66" fillId="0" borderId="54" xfId="66" applyFont="1" applyBorder="1" applyAlignment="1">
      <alignment horizontal="center" wrapText="1"/>
    </xf>
    <xf numFmtId="175" fontId="62" fillId="0" borderId="0" xfId="0" quotePrefix="1" applyFont="1" applyBorder="1" applyAlignment="1"/>
    <xf numFmtId="175" fontId="35" fillId="0" borderId="11" xfId="0" applyFont="1" applyBorder="1" applyAlignment="1" applyProtection="1">
      <alignment horizontal="center"/>
      <protection locked="0"/>
    </xf>
    <xf numFmtId="175" fontId="35" fillId="0" borderId="11" xfId="0" applyFont="1" applyBorder="1" applyAlignment="1">
      <alignment horizontal="center"/>
    </xf>
    <xf numFmtId="42" fontId="14" fillId="0" borderId="0" xfId="520" applyNumberFormat="1" applyFont="1" applyBorder="1"/>
    <xf numFmtId="42" fontId="14" fillId="0" borderId="41" xfId="520" applyNumberFormat="1" applyBorder="1"/>
    <xf numFmtId="42" fontId="14" fillId="0" borderId="0" xfId="520" applyNumberFormat="1" applyFont="1"/>
    <xf numFmtId="42" fontId="14" fillId="0" borderId="41" xfId="520" applyNumberFormat="1" applyFont="1" applyBorder="1"/>
    <xf numFmtId="42" fontId="14" fillId="49" borderId="18" xfId="520" applyNumberFormat="1" applyFont="1" applyFill="1" applyBorder="1"/>
    <xf numFmtId="42" fontId="14" fillId="49" borderId="19" xfId="520" applyNumberFormat="1" applyFont="1" applyFill="1" applyBorder="1"/>
    <xf numFmtId="42" fontId="74" fillId="49" borderId="18" xfId="520" applyNumberFormat="1" applyFont="1" applyFill="1" applyBorder="1"/>
    <xf numFmtId="42" fontId="74" fillId="0" borderId="17" xfId="520" applyNumberFormat="1" applyFont="1" applyBorder="1"/>
    <xf numFmtId="42" fontId="74" fillId="0" borderId="0" xfId="520" applyNumberFormat="1" applyFont="1"/>
    <xf numFmtId="42" fontId="74" fillId="0" borderId="41" xfId="520" applyNumberFormat="1" applyFont="1" applyBorder="1"/>
    <xf numFmtId="42" fontId="74" fillId="0" borderId="0" xfId="520" applyNumberFormat="1" applyFont="1" applyBorder="1"/>
    <xf numFmtId="42" fontId="74" fillId="0" borderId="14" xfId="520" applyNumberFormat="1" applyFont="1" applyBorder="1"/>
    <xf numFmtId="42" fontId="74" fillId="0" borderId="16" xfId="520" applyNumberFormat="1" applyFont="1" applyBorder="1"/>
    <xf numFmtId="42" fontId="14" fillId="0" borderId="22" xfId="520" applyNumberFormat="1" applyFont="1" applyBorder="1"/>
    <xf numFmtId="42" fontId="14" fillId="0" borderId="48" xfId="520" applyNumberFormat="1" applyBorder="1"/>
    <xf numFmtId="42" fontId="14" fillId="0" borderId="17" xfId="520" applyNumberFormat="1" applyFont="1" applyBorder="1"/>
    <xf numFmtId="42" fontId="14" fillId="0" borderId="21" xfId="520" applyNumberFormat="1" applyFont="1" applyBorder="1"/>
    <xf numFmtId="42" fontId="14" fillId="0" borderId="16" xfId="520" applyNumberFormat="1" applyBorder="1"/>
    <xf numFmtId="42" fontId="14" fillId="49" borderId="21" xfId="520" applyNumberFormat="1" applyFont="1" applyFill="1" applyBorder="1"/>
    <xf numFmtId="42" fontId="14" fillId="49" borderId="14" xfId="520" applyNumberFormat="1" applyFont="1" applyFill="1" applyBorder="1"/>
    <xf numFmtId="42" fontId="74" fillId="49" borderId="19" xfId="520" applyNumberFormat="1" applyFont="1" applyFill="1" applyBorder="1"/>
    <xf numFmtId="42" fontId="74" fillId="0" borderId="22" xfId="520" applyNumberFormat="1" applyFont="1" applyBorder="1"/>
    <xf numFmtId="42" fontId="74" fillId="0" borderId="27" xfId="520" applyNumberFormat="1" applyFont="1" applyBorder="1"/>
    <xf numFmtId="42" fontId="74" fillId="45" borderId="0" xfId="520" applyNumberFormat="1" applyFont="1" applyFill="1"/>
    <xf numFmtId="42" fontId="74" fillId="0" borderId="48" xfId="520" applyNumberFormat="1" applyFont="1" applyBorder="1"/>
    <xf numFmtId="42" fontId="14" fillId="0" borderId="13" xfId="520" applyNumberFormat="1" applyBorder="1"/>
    <xf numFmtId="42" fontId="14" fillId="0" borderId="0" xfId="66" applyNumberFormat="1" applyProtection="1">
      <protection locked="0"/>
    </xf>
    <xf numFmtId="42" fontId="14" fillId="0" borderId="17" xfId="66" applyNumberFormat="1" applyBorder="1" applyAlignment="1" applyProtection="1">
      <alignment horizontal="center"/>
      <protection locked="0"/>
    </xf>
    <xf numFmtId="42" fontId="14" fillId="0" borderId="0" xfId="66" applyNumberFormat="1" applyAlignment="1" applyProtection="1">
      <alignment horizontal="right"/>
      <protection locked="0"/>
    </xf>
    <xf numFmtId="175" fontId="0" fillId="47" borderId="0" xfId="66" applyFont="1" applyFill="1" applyAlignment="1" applyProtection="1">
      <alignment horizontal="center"/>
      <protection locked="0"/>
    </xf>
    <xf numFmtId="175" fontId="0" fillId="47" borderId="0" xfId="66" applyFont="1" applyFill="1" applyProtection="1">
      <protection locked="0"/>
    </xf>
    <xf numFmtId="175" fontId="15" fillId="47" borderId="11" xfId="66" applyFont="1" applyFill="1" applyBorder="1" applyAlignment="1">
      <alignment horizontal="center"/>
    </xf>
    <xf numFmtId="171" fontId="15" fillId="47" borderId="11" xfId="66" applyNumberFormat="1" applyFont="1" applyFill="1" applyBorder="1" applyAlignment="1">
      <alignment horizontal="center"/>
    </xf>
    <xf numFmtId="175" fontId="15" fillId="47" borderId="11" xfId="66" applyFont="1" applyFill="1" applyBorder="1" applyAlignment="1">
      <alignment horizontal="center" wrapText="1"/>
    </xf>
    <xf numFmtId="175" fontId="0" fillId="0" borderId="11" xfId="0" applyBorder="1"/>
    <xf numFmtId="1" fontId="0" fillId="47" borderId="11" xfId="66" quotePrefix="1" applyNumberFormat="1" applyFont="1" applyFill="1" applyBorder="1" applyAlignment="1" applyProtection="1">
      <alignment horizontal="center"/>
      <protection locked="0"/>
    </xf>
    <xf numFmtId="1" fontId="0" fillId="47" borderId="11" xfId="66" applyNumberFormat="1" applyFont="1" applyFill="1" applyBorder="1" applyAlignment="1" applyProtection="1">
      <alignment horizontal="center"/>
      <protection locked="0"/>
    </xf>
    <xf numFmtId="14" fontId="0" fillId="0" borderId="11" xfId="0" applyNumberFormat="1" applyBorder="1"/>
    <xf numFmtId="175" fontId="0" fillId="47" borderId="11" xfId="66" applyFont="1" applyFill="1" applyBorder="1" applyAlignment="1" applyProtection="1">
      <alignment horizontal="center"/>
      <protection locked="0"/>
    </xf>
    <xf numFmtId="2" fontId="0" fillId="47" borderId="11" xfId="66" applyNumberFormat="1" applyFont="1" applyFill="1" applyBorder="1" applyProtection="1">
      <protection locked="0"/>
    </xf>
    <xf numFmtId="16" fontId="0" fillId="0" borderId="11" xfId="0" applyNumberFormat="1" applyBorder="1" applyAlignment="1">
      <alignment horizontal="right"/>
    </xf>
    <xf numFmtId="1" fontId="0" fillId="47" borderId="0" xfId="66" applyNumberFormat="1" applyFont="1" applyFill="1" applyAlignment="1" applyProtection="1">
      <alignment horizontal="center"/>
      <protection locked="0"/>
    </xf>
    <xf numFmtId="14" fontId="57" fillId="0" borderId="0" xfId="0" applyNumberFormat="1" applyFont="1" applyAlignment="1">
      <alignment horizontal="right"/>
    </xf>
    <xf numFmtId="2" fontId="0" fillId="47" borderId="0" xfId="66" applyNumberFormat="1" applyFont="1" applyFill="1" applyProtection="1">
      <protection locked="0"/>
    </xf>
    <xf numFmtId="175" fontId="57" fillId="0" borderId="0" xfId="0" applyFont="1" applyAlignment="1">
      <alignment horizontal="right"/>
    </xf>
    <xf numFmtId="175" fontId="0" fillId="47" borderId="0" xfId="66" applyFont="1" applyFill="1" applyAlignment="1" applyProtection="1">
      <alignment horizontal="left"/>
      <protection locked="0"/>
    </xf>
    <xf numFmtId="171" fontId="0" fillId="47" borderId="0" xfId="66" applyNumberFormat="1" applyFont="1" applyFill="1" applyAlignment="1" applyProtection="1">
      <alignment horizontal="center"/>
      <protection locked="0"/>
    </xf>
    <xf numFmtId="0" fontId="0" fillId="0" borderId="0" xfId="520" applyFont="1" applyAlignment="1" applyProtection="1">
      <alignment horizontal="left"/>
      <protection locked="0"/>
    </xf>
    <xf numFmtId="175" fontId="15" fillId="47" borderId="0" xfId="66" applyFont="1" applyFill="1" applyAlignment="1" applyProtection="1">
      <alignment horizontal="left"/>
      <protection locked="0"/>
    </xf>
    <xf numFmtId="175" fontId="69" fillId="47" borderId="0" xfId="66" applyFont="1" applyFill="1" applyAlignment="1" applyProtection="1">
      <alignment horizontal="left"/>
      <protection locked="0"/>
    </xf>
    <xf numFmtId="0" fontId="4" fillId="0" borderId="0" xfId="597"/>
    <xf numFmtId="43" fontId="0" fillId="50" borderId="0" xfId="46" applyFont="1" applyFill="1" applyAlignment="1">
      <alignment horizontal="left"/>
    </xf>
    <xf numFmtId="175" fontId="48" fillId="47" borderId="0" xfId="0" applyFont="1" applyFill="1" applyProtection="1">
      <protection locked="0"/>
    </xf>
    <xf numFmtId="175" fontId="127" fillId="47" borderId="0" xfId="0" applyFont="1" applyFill="1" applyAlignment="1">
      <alignment vertical="top" wrapText="1"/>
    </xf>
    <xf numFmtId="175" fontId="126" fillId="0" borderId="0" xfId="66" applyFont="1" applyProtection="1">
      <protection locked="0"/>
    </xf>
    <xf numFmtId="14" fontId="14" fillId="0" borderId="11" xfId="0" applyNumberFormat="1" applyFont="1" applyBorder="1"/>
    <xf numFmtId="175" fontId="14" fillId="47" borderId="11" xfId="66" applyFont="1" applyFill="1" applyBorder="1" applyAlignment="1" applyProtection="1">
      <alignment horizontal="center"/>
      <protection locked="0"/>
    </xf>
    <xf numFmtId="2" fontId="14" fillId="47" borderId="11" xfId="66" applyNumberFormat="1" applyFont="1" applyFill="1" applyBorder="1" applyProtection="1">
      <protection locked="0"/>
    </xf>
    <xf numFmtId="16" fontId="14" fillId="0" borderId="11" xfId="0" applyNumberFormat="1" applyFont="1" applyBorder="1" applyAlignment="1">
      <alignment horizontal="right"/>
    </xf>
    <xf numFmtId="1" fontId="14" fillId="47" borderId="11" xfId="66" applyNumberFormat="1" applyFont="1" applyFill="1" applyBorder="1" applyAlignment="1" applyProtection="1">
      <alignment horizontal="center"/>
      <protection locked="0"/>
    </xf>
    <xf numFmtId="175" fontId="14" fillId="0" borderId="11" xfId="0" applyFont="1" applyBorder="1"/>
    <xf numFmtId="1" fontId="14" fillId="47" borderId="11" xfId="66" quotePrefix="1" applyNumberFormat="1" applyFont="1" applyFill="1" applyBorder="1" applyAlignment="1" applyProtection="1">
      <alignment horizontal="center"/>
      <protection locked="0"/>
    </xf>
    <xf numFmtId="175" fontId="126" fillId="0" borderId="0" xfId="66" applyFont="1" applyAlignment="1">
      <alignment wrapText="1"/>
    </xf>
    <xf numFmtId="175" fontId="126" fillId="47" borderId="0" xfId="66" applyFont="1" applyFill="1" applyAlignment="1"/>
    <xf numFmtId="175" fontId="70" fillId="47" borderId="0" xfId="0" quotePrefix="1" applyFont="1" applyFill="1" applyProtection="1">
      <protection locked="0"/>
    </xf>
    <xf numFmtId="175" fontId="127" fillId="52" borderId="0" xfId="0" applyFont="1" applyFill="1" applyBorder="1"/>
    <xf numFmtId="175" fontId="14" fillId="0" borderId="13" xfId="0" applyFont="1" applyBorder="1" applyAlignment="1">
      <alignment vertical="center"/>
    </xf>
    <xf numFmtId="2" fontId="14" fillId="0" borderId="97" xfId="0" applyNumberFormat="1" applyFont="1" applyBorder="1" applyAlignment="1">
      <alignment vertical="center"/>
    </xf>
    <xf numFmtId="3" fontId="14" fillId="52" borderId="41" xfId="0" applyNumberFormat="1" applyFont="1" applyFill="1" applyBorder="1" applyAlignment="1">
      <alignment horizontal="center" vertical="center"/>
    </xf>
    <xf numFmtId="3" fontId="14" fillId="0" borderId="98" xfId="0" applyNumberFormat="1" applyFont="1" applyBorder="1" applyAlignment="1">
      <alignment horizontal="left" vertical="center" wrapText="1"/>
    </xf>
    <xf numFmtId="2" fontId="14" fillId="0" borderId="11" xfId="0" applyNumberFormat="1" applyFont="1" applyBorder="1" applyAlignment="1">
      <alignment vertical="center"/>
    </xf>
    <xf numFmtId="3" fontId="14" fillId="52" borderId="11" xfId="0" applyNumberFormat="1" applyFont="1" applyFill="1" applyBorder="1" applyAlignment="1">
      <alignment horizontal="center" vertical="center"/>
    </xf>
    <xf numFmtId="175" fontId="14" fillId="0" borderId="0" xfId="0" applyFont="1" applyBorder="1"/>
    <xf numFmtId="175" fontId="62" fillId="0" borderId="0" xfId="0" quotePrefix="1" applyFont="1" applyBorder="1"/>
    <xf numFmtId="3" fontId="14" fillId="0" borderId="41" xfId="0" applyNumberFormat="1" applyFont="1" applyBorder="1" applyAlignment="1">
      <alignment horizontal="center" vertical="center"/>
    </xf>
    <xf numFmtId="3" fontId="14" fillId="0" borderId="99" xfId="0" applyNumberFormat="1" applyFont="1" applyBorder="1" applyAlignment="1">
      <alignment horizontal="left" vertical="center" wrapText="1"/>
    </xf>
    <xf numFmtId="3" fontId="14" fillId="0" borderId="11" xfId="0" applyNumberFormat="1" applyFont="1" applyBorder="1" applyAlignment="1">
      <alignment horizontal="center" vertical="center"/>
    </xf>
    <xf numFmtId="175" fontId="126" fillId="52" borderId="0" xfId="0" applyFont="1" applyFill="1" applyBorder="1" applyAlignment="1"/>
    <xf numFmtId="175" fontId="57" fillId="0" borderId="34" xfId="0" applyFont="1" applyBorder="1" applyAlignment="1">
      <alignment vertical="center"/>
    </xf>
    <xf numFmtId="2" fontId="57" fillId="0" borderId="16" xfId="0" applyNumberFormat="1" applyFont="1" applyBorder="1" applyAlignment="1">
      <alignment vertical="center"/>
    </xf>
    <xf numFmtId="2" fontId="57" fillId="0" borderId="100" xfId="0" applyNumberFormat="1" applyFont="1" applyBorder="1" applyAlignment="1">
      <alignment vertical="center"/>
    </xf>
    <xf numFmtId="175" fontId="129" fillId="0" borderId="0" xfId="66" applyFont="1" applyProtection="1">
      <protection locked="0"/>
    </xf>
    <xf numFmtId="0" fontId="130" fillId="0" borderId="0" xfId="520" applyFont="1"/>
    <xf numFmtId="6" fontId="130" fillId="0" borderId="0" xfId="520" applyNumberFormat="1" applyFont="1"/>
    <xf numFmtId="168" fontId="130" fillId="0" borderId="0" xfId="52" applyNumberFormat="1" applyFont="1"/>
    <xf numFmtId="175" fontId="14" fillId="0" borderId="0" xfId="66" applyFill="1" applyProtection="1">
      <protection locked="0"/>
    </xf>
    <xf numFmtId="175" fontId="14" fillId="0" borderId="37" xfId="66" applyFill="1" applyBorder="1" applyProtection="1">
      <protection locked="0"/>
    </xf>
    <xf numFmtId="175" fontId="14" fillId="0" borderId="18" xfId="66" applyFill="1" applyBorder="1" applyProtection="1">
      <protection locked="0"/>
    </xf>
    <xf numFmtId="175" fontId="15" fillId="0" borderId="11" xfId="66" applyFont="1" applyFill="1" applyBorder="1" applyAlignment="1" applyProtection="1">
      <alignment horizontal="center" wrapText="1"/>
      <protection locked="0"/>
    </xf>
    <xf numFmtId="175" fontId="15" fillId="0" borderId="13" xfId="66" applyFont="1" applyFill="1" applyBorder="1" applyAlignment="1" applyProtection="1">
      <alignment horizontal="center" wrapText="1"/>
      <protection locked="0"/>
    </xf>
    <xf numFmtId="42" fontId="14" fillId="0" borderId="0" xfId="66" applyNumberFormat="1" applyFill="1" applyProtection="1">
      <protection locked="0"/>
    </xf>
    <xf numFmtId="164" fontId="14" fillId="0" borderId="42" xfId="66" applyNumberFormat="1" applyFill="1" applyBorder="1" applyProtection="1">
      <protection locked="0"/>
    </xf>
    <xf numFmtId="0" fontId="62" fillId="0" borderId="0" xfId="66" applyNumberFormat="1" applyFont="1" applyAlignment="1">
      <alignment horizontal="left"/>
    </xf>
    <xf numFmtId="164" fontId="69" fillId="0" borderId="0" xfId="66" applyNumberFormat="1" applyFont="1"/>
    <xf numFmtId="175" fontId="62" fillId="47" borderId="0" xfId="66" applyFont="1" applyFill="1" applyAlignment="1">
      <alignment wrapText="1"/>
    </xf>
    <xf numFmtId="175" fontId="62" fillId="0" borderId="0" xfId="66" applyFont="1" applyAlignment="1">
      <alignment wrapText="1"/>
    </xf>
    <xf numFmtId="175" fontId="62" fillId="47" borderId="0" xfId="66" applyFont="1" applyFill="1" applyAlignment="1"/>
    <xf numFmtId="175" fontId="66" fillId="47" borderId="52" xfId="66" applyFont="1" applyFill="1" applyBorder="1" applyAlignment="1">
      <alignment wrapText="1"/>
    </xf>
    <xf numFmtId="175" fontId="15" fillId="47" borderId="61" xfId="66" applyFont="1" applyFill="1" applyBorder="1" applyAlignment="1">
      <alignment wrapText="1"/>
    </xf>
    <xf numFmtId="164" fontId="14" fillId="47" borderId="0" xfId="66" applyNumberFormat="1" applyFill="1"/>
    <xf numFmtId="175" fontId="66" fillId="43" borderId="96" xfId="66" applyFont="1" applyFill="1" applyBorder="1" applyAlignment="1">
      <alignment horizontal="right"/>
    </xf>
    <xf numFmtId="175" fontId="66" fillId="43" borderId="102" xfId="66" applyFont="1" applyFill="1" applyBorder="1" applyAlignment="1">
      <alignment horizontal="center" wrapText="1"/>
    </xf>
    <xf numFmtId="6" fontId="14" fillId="0" borderId="27" xfId="66" applyNumberFormat="1" applyBorder="1" applyProtection="1">
      <protection locked="0"/>
    </xf>
    <xf numFmtId="6" fontId="14" fillId="0" borderId="95" xfId="66" applyNumberFormat="1" applyBorder="1" applyProtection="1">
      <protection locked="0"/>
    </xf>
    <xf numFmtId="6" fontId="14" fillId="0" borderId="13" xfId="66" applyNumberFormat="1" applyBorder="1" applyAlignment="1">
      <alignment horizontal="right"/>
    </xf>
    <xf numFmtId="167" fontId="14" fillId="0" borderId="13" xfId="66" applyNumberFormat="1" applyBorder="1" applyAlignment="1">
      <alignment horizontal="right"/>
    </xf>
    <xf numFmtId="167" fontId="14" fillId="0" borderId="11" xfId="66" applyNumberFormat="1" applyBorder="1" applyAlignment="1">
      <alignment horizontal="right"/>
    </xf>
    <xf numFmtId="167" fontId="14" fillId="0" borderId="11" xfId="66" applyNumberFormat="1" applyBorder="1"/>
    <xf numFmtId="167" fontId="14" fillId="0" borderId="13" xfId="66" applyNumberFormat="1" applyBorder="1"/>
    <xf numFmtId="167" fontId="14" fillId="47" borderId="13" xfId="66" applyNumberFormat="1" applyFill="1" applyBorder="1" applyAlignment="1">
      <alignment horizontal="right"/>
    </xf>
    <xf numFmtId="42" fontId="14" fillId="49" borderId="11" xfId="520" applyNumberFormat="1" applyFont="1" applyFill="1" applyBorder="1"/>
    <xf numFmtId="42" fontId="14" fillId="0" borderId="15" xfId="520" applyNumberFormat="1" applyFont="1" applyBorder="1"/>
    <xf numFmtId="42" fontId="14" fillId="0" borderId="13" xfId="520" applyNumberFormat="1" applyFont="1" applyBorder="1"/>
    <xf numFmtId="42" fontId="14" fillId="0" borderId="13" xfId="520" applyNumberFormat="1" applyFill="1" applyBorder="1"/>
    <xf numFmtId="42" fontId="14" fillId="0" borderId="41" xfId="520" applyNumberFormat="1" applyFill="1" applyBorder="1"/>
    <xf numFmtId="42" fontId="14" fillId="0" borderId="0" xfId="520" applyNumberFormat="1" applyFont="1" applyFill="1"/>
    <xf numFmtId="42" fontId="14" fillId="0" borderId="41" xfId="520" applyNumberFormat="1" applyFont="1" applyFill="1" applyBorder="1"/>
    <xf numFmtId="42" fontId="14" fillId="0" borderId="15" xfId="520" applyNumberFormat="1" applyFill="1" applyBorder="1"/>
    <xf numFmtId="42" fontId="14" fillId="0" borderId="48" xfId="520" applyNumberFormat="1" applyFill="1" applyBorder="1"/>
    <xf numFmtId="42" fontId="74" fillId="0" borderId="0" xfId="520" applyNumberFormat="1" applyFont="1" applyFill="1"/>
    <xf numFmtId="42" fontId="75" fillId="0" borderId="0" xfId="520" applyNumberFormat="1" applyFont="1"/>
    <xf numFmtId="175" fontId="15" fillId="0" borderId="60" xfId="66" applyFont="1" applyBorder="1"/>
    <xf numFmtId="175" fontId="15" fillId="0" borderId="102" xfId="66" applyFont="1" applyBorder="1"/>
    <xf numFmtId="175" fontId="15" fillId="0" borderId="102" xfId="66" applyFont="1" applyBorder="1" applyAlignment="1">
      <alignment horizontal="left" wrapText="1" indent="1"/>
    </xf>
    <xf numFmtId="175" fontId="15" fillId="0" borderId="102" xfId="66" applyFont="1" applyBorder="1" applyAlignment="1">
      <alignment horizontal="left" indent="1"/>
    </xf>
    <xf numFmtId="175" fontId="15" fillId="0" borderId="104" xfId="66" applyFont="1" applyBorder="1" applyAlignment="1">
      <alignment horizontal="left" indent="1"/>
    </xf>
    <xf numFmtId="43" fontId="14" fillId="50" borderId="0" xfId="46" applyFill="1" applyAlignment="1">
      <alignment horizontal="left"/>
    </xf>
    <xf numFmtId="175" fontId="62" fillId="47" borderId="0" xfId="66" applyFont="1" applyFill="1" applyProtection="1">
      <protection locked="0"/>
    </xf>
    <xf numFmtId="175" fontId="126" fillId="47" borderId="0" xfId="0" quotePrefix="1" applyFont="1" applyFill="1" applyAlignment="1">
      <alignment vertical="top" wrapText="1"/>
    </xf>
    <xf numFmtId="175" fontId="62" fillId="0" borderId="0" xfId="0" applyFont="1"/>
    <xf numFmtId="175" fontId="62" fillId="47" borderId="0" xfId="0" quotePrefix="1" applyFont="1" applyFill="1" applyAlignment="1">
      <alignment horizontal="left" vertical="top" wrapText="1"/>
    </xf>
    <xf numFmtId="175" fontId="68" fillId="47" borderId="0" xfId="66" applyFont="1" applyFill="1" applyAlignment="1" applyProtection="1">
      <alignment vertical="center"/>
      <protection locked="0"/>
    </xf>
    <xf numFmtId="175" fontId="14" fillId="0" borderId="0" xfId="66" applyFont="1" applyProtection="1">
      <protection locked="0"/>
    </xf>
    <xf numFmtId="42" fontId="14" fillId="47" borderId="17" xfId="66" applyNumberFormat="1" applyFill="1" applyBorder="1" applyAlignment="1">
      <alignment horizontal="right"/>
    </xf>
    <xf numFmtId="41" fontId="14" fillId="0" borderId="0" xfId="66" applyNumberFormat="1" applyBorder="1" applyProtection="1">
      <protection locked="0"/>
    </xf>
    <xf numFmtId="177" fontId="14" fillId="0" borderId="0" xfId="66" applyNumberFormat="1" applyBorder="1" applyProtection="1">
      <protection locked="0"/>
    </xf>
    <xf numFmtId="178" fontId="67" fillId="0" borderId="17" xfId="66" applyNumberFormat="1" applyFont="1" applyBorder="1"/>
    <xf numFmtId="178" fontId="67" fillId="0" borderId="54" xfId="66" applyNumberFormat="1" applyFont="1" applyBorder="1"/>
    <xf numFmtId="178" fontId="67" fillId="0" borderId="0" xfId="66" applyNumberFormat="1" applyFont="1" applyBorder="1"/>
    <xf numFmtId="178" fontId="66" fillId="43" borderId="14" xfId="66" applyNumberFormat="1" applyFont="1" applyFill="1" applyBorder="1" applyAlignment="1"/>
    <xf numFmtId="178" fontId="67" fillId="0" borderId="0" xfId="66" applyNumberFormat="1" applyFont="1" applyAlignment="1"/>
    <xf numFmtId="178" fontId="66" fillId="0" borderId="96" xfId="66" applyNumberFormat="1" applyFont="1" applyBorder="1" applyAlignment="1"/>
    <xf numFmtId="178" fontId="66" fillId="43" borderId="42" xfId="66" applyNumberFormat="1" applyFont="1" applyFill="1" applyBorder="1" applyAlignment="1"/>
    <xf numFmtId="178" fontId="67" fillId="0" borderId="22" xfId="66" applyNumberFormat="1" applyFont="1" applyFill="1" applyBorder="1"/>
    <xf numFmtId="178" fontId="67" fillId="0" borderId="101" xfId="66" applyNumberFormat="1" applyFont="1" applyFill="1" applyBorder="1"/>
    <xf numFmtId="178" fontId="67" fillId="0" borderId="54" xfId="66" applyNumberFormat="1" applyFont="1" applyFill="1" applyBorder="1"/>
    <xf numFmtId="178" fontId="14" fillId="0" borderId="0" xfId="66" applyNumberFormat="1" applyBorder="1" applyAlignment="1"/>
    <xf numFmtId="178" fontId="14" fillId="0" borderId="54" xfId="66" applyNumberFormat="1" applyBorder="1" applyAlignment="1"/>
    <xf numFmtId="178" fontId="14" fillId="0" borderId="96" xfId="66" applyNumberFormat="1" applyBorder="1" applyAlignment="1"/>
    <xf numFmtId="178" fontId="14" fillId="0" borderId="18" xfId="66" applyNumberFormat="1" applyBorder="1" applyAlignment="1"/>
    <xf numFmtId="178" fontId="14" fillId="0" borderId="39" xfId="66" applyNumberFormat="1" applyBorder="1" applyAlignment="1"/>
    <xf numFmtId="178" fontId="14" fillId="0" borderId="0" xfId="66" applyNumberFormat="1" applyAlignment="1"/>
    <xf numFmtId="178" fontId="14" fillId="0" borderId="0" xfId="66" applyNumberFormat="1" applyAlignment="1" applyProtection="1">
      <protection locked="0"/>
    </xf>
    <xf numFmtId="178" fontId="14" fillId="0" borderId="0" xfId="66" applyNumberFormat="1" applyBorder="1" applyAlignment="1" applyProtection="1">
      <protection locked="0"/>
    </xf>
    <xf numFmtId="178" fontId="14" fillId="0" borderId="27" xfId="66" applyNumberFormat="1" applyBorder="1" applyAlignment="1"/>
    <xf numFmtId="178" fontId="14" fillId="0" borderId="14" xfId="66" applyNumberFormat="1" applyBorder="1" applyAlignment="1" applyProtection="1">
      <protection locked="0"/>
    </xf>
    <xf numFmtId="178" fontId="14" fillId="0" borderId="103" xfId="66" applyNumberFormat="1" applyBorder="1" applyAlignment="1"/>
    <xf numFmtId="178" fontId="14" fillId="0" borderId="59" xfId="66" applyNumberFormat="1" applyBorder="1" applyAlignment="1"/>
    <xf numFmtId="178" fontId="14" fillId="44" borderId="96" xfId="66" applyNumberFormat="1" applyFill="1" applyBorder="1" applyAlignment="1"/>
    <xf numFmtId="178" fontId="14" fillId="44" borderId="18" xfId="66" applyNumberFormat="1" applyFill="1" applyBorder="1" applyAlignment="1"/>
    <xf numFmtId="178" fontId="14" fillId="44" borderId="39" xfId="66" applyNumberFormat="1" applyFill="1" applyBorder="1" applyAlignment="1"/>
    <xf numFmtId="178" fontId="15" fillId="0" borderId="46" xfId="66" applyNumberFormat="1" applyFont="1" applyBorder="1" applyAlignment="1"/>
    <xf numFmtId="178" fontId="15" fillId="0" borderId="61" xfId="66" applyNumberFormat="1" applyFont="1" applyBorder="1" applyAlignment="1"/>
    <xf numFmtId="178" fontId="15" fillId="47" borderId="46" xfId="66" applyNumberFormat="1" applyFont="1" applyFill="1" applyBorder="1" applyAlignment="1"/>
    <xf numFmtId="178" fontId="15" fillId="47" borderId="62" xfId="66" applyNumberFormat="1" applyFont="1" applyFill="1" applyBorder="1" applyAlignment="1"/>
    <xf numFmtId="178" fontId="15" fillId="47" borderId="61" xfId="66" applyNumberFormat="1" applyFont="1" applyFill="1" applyBorder="1" applyAlignment="1"/>
    <xf numFmtId="178" fontId="67" fillId="0" borderId="17" xfId="66" applyNumberFormat="1" applyFont="1" applyBorder="1" applyAlignment="1"/>
    <xf numFmtId="178" fontId="67" fillId="0" borderId="0" xfId="66" applyNumberFormat="1" applyFont="1" applyBorder="1" applyAlignment="1"/>
    <xf numFmtId="178" fontId="67" fillId="0" borderId="54" xfId="66" applyNumberFormat="1" applyFont="1" applyBorder="1" applyAlignment="1"/>
    <xf numFmtId="178" fontId="67" fillId="0" borderId="21" xfId="66" applyNumberFormat="1" applyFont="1" applyBorder="1" applyAlignment="1"/>
    <xf numFmtId="178" fontId="67" fillId="0" borderId="14" xfId="66" applyNumberFormat="1" applyFont="1" applyBorder="1" applyAlignment="1"/>
    <xf numFmtId="178" fontId="66" fillId="43" borderId="21" xfId="66" applyNumberFormat="1" applyFont="1" applyFill="1" applyBorder="1" applyAlignment="1"/>
    <xf numFmtId="178" fontId="66" fillId="0" borderId="102" xfId="66" applyNumberFormat="1" applyFont="1" applyBorder="1" applyAlignment="1"/>
    <xf numFmtId="178" fontId="67" fillId="0" borderId="54" xfId="66" applyNumberFormat="1" applyFont="1" applyFill="1" applyBorder="1" applyAlignment="1"/>
    <xf numFmtId="178" fontId="66" fillId="43" borderId="51" xfId="66" applyNumberFormat="1" applyFont="1" applyFill="1" applyBorder="1" applyAlignment="1"/>
    <xf numFmtId="178" fontId="66" fillId="43" borderId="61" xfId="66" applyNumberFormat="1" applyFont="1" applyFill="1" applyBorder="1" applyAlignment="1"/>
    <xf numFmtId="178" fontId="66" fillId="43" borderId="14" xfId="50" applyNumberFormat="1" applyFont="1" applyFill="1" applyBorder="1" applyAlignment="1"/>
    <xf numFmtId="178" fontId="66" fillId="43" borderId="60" xfId="66" applyNumberFormat="1" applyFont="1" applyFill="1" applyBorder="1" applyAlignment="1"/>
    <xf numFmtId="178" fontId="66" fillId="47" borderId="51" xfId="66" applyNumberFormat="1" applyFont="1" applyFill="1" applyBorder="1" applyAlignment="1"/>
    <xf numFmtId="178" fontId="66" fillId="47" borderId="73" xfId="66" applyNumberFormat="1" applyFont="1" applyFill="1" applyBorder="1" applyAlignment="1"/>
    <xf numFmtId="42" fontId="14" fillId="0" borderId="17" xfId="66" applyNumberFormat="1" applyBorder="1" applyAlignment="1"/>
    <xf numFmtId="42" fontId="14" fillId="0" borderId="13" xfId="66" applyNumberFormat="1" applyBorder="1" applyAlignment="1"/>
    <xf numFmtId="42" fontId="14" fillId="0" borderId="0" xfId="66" applyNumberFormat="1" applyFill="1" applyBorder="1" applyAlignment="1"/>
    <xf numFmtId="42" fontId="14" fillId="47" borderId="13" xfId="66" applyNumberFormat="1" applyFill="1" applyBorder="1" applyAlignment="1"/>
    <xf numFmtId="42" fontId="14" fillId="0" borderId="21" xfId="66" applyNumberFormat="1" applyBorder="1" applyAlignment="1"/>
    <xf numFmtId="42" fontId="14" fillId="0" borderId="14" xfId="66" applyNumberFormat="1" applyBorder="1" applyAlignment="1"/>
    <xf numFmtId="42" fontId="14" fillId="0" borderId="20" xfId="66" applyNumberFormat="1" applyBorder="1" applyAlignment="1"/>
    <xf numFmtId="42" fontId="14" fillId="0" borderId="18" xfId="66" applyNumberFormat="1" applyFill="1" applyBorder="1" applyAlignment="1"/>
    <xf numFmtId="42" fontId="14" fillId="47" borderId="11" xfId="66" applyNumberFormat="1" applyFill="1" applyBorder="1" applyAlignment="1"/>
    <xf numFmtId="42" fontId="14" fillId="0" borderId="11" xfId="66" applyNumberFormat="1" applyBorder="1" applyAlignment="1"/>
    <xf numFmtId="42" fontId="14" fillId="0" borderId="0" xfId="66" applyNumberFormat="1" applyAlignment="1"/>
    <xf numFmtId="42" fontId="14" fillId="0" borderId="0" xfId="66" applyNumberFormat="1" applyAlignment="1" applyProtection="1">
      <protection locked="0"/>
    </xf>
    <xf numFmtId="42" fontId="14" fillId="0" borderId="13" xfId="66" applyNumberFormat="1" applyFill="1" applyBorder="1" applyAlignment="1"/>
    <xf numFmtId="42" fontId="14" fillId="0" borderId="18" xfId="66" applyNumberFormat="1" applyBorder="1" applyAlignment="1"/>
    <xf numFmtId="42" fontId="14" fillId="0" borderId="11" xfId="66" applyNumberFormat="1" applyFill="1" applyBorder="1" applyAlignment="1"/>
    <xf numFmtId="42" fontId="14" fillId="0" borderId="22" xfId="66" applyNumberFormat="1" applyBorder="1" applyAlignment="1"/>
    <xf numFmtId="42" fontId="14" fillId="0" borderId="14" xfId="66" applyNumberFormat="1" applyBorder="1" applyAlignment="1" applyProtection="1">
      <protection locked="0"/>
    </xf>
    <xf numFmtId="42" fontId="14" fillId="0" borderId="20" xfId="66" applyNumberFormat="1" applyFill="1" applyBorder="1" applyAlignment="1"/>
    <xf numFmtId="42" fontId="14" fillId="0" borderId="17" xfId="66" applyNumberFormat="1" applyFill="1" applyBorder="1" applyAlignment="1"/>
    <xf numFmtId="42" fontId="14" fillId="47" borderId="15" xfId="66" applyNumberFormat="1" applyFill="1" applyBorder="1" applyAlignment="1"/>
    <xf numFmtId="42" fontId="14" fillId="47" borderId="13" xfId="66" applyNumberFormat="1" applyFill="1" applyBorder="1" applyAlignment="1" applyProtection="1">
      <protection locked="0"/>
    </xf>
    <xf numFmtId="42" fontId="14" fillId="0" borderId="13" xfId="66" applyNumberFormat="1" applyBorder="1" applyAlignment="1" applyProtection="1">
      <protection locked="0"/>
    </xf>
    <xf numFmtId="42" fontId="14" fillId="0" borderId="34" xfId="66" applyNumberFormat="1" applyBorder="1" applyAlignment="1" applyProtection="1">
      <protection locked="0"/>
    </xf>
    <xf numFmtId="42" fontId="14" fillId="47" borderId="20" xfId="66" applyNumberFormat="1" applyFill="1" applyBorder="1" applyAlignment="1"/>
    <xf numFmtId="175" fontId="14" fillId="0" borderId="0" xfId="66" applyFont="1" applyFill="1" applyProtection="1">
      <protection locked="0"/>
    </xf>
    <xf numFmtId="3" fontId="46" fillId="47" borderId="17" xfId="0" applyNumberFormat="1" applyFont="1" applyFill="1" applyBorder="1" applyAlignment="1" applyProtection="1">
      <alignment horizontal="center"/>
      <protection locked="0"/>
    </xf>
    <xf numFmtId="43" fontId="14" fillId="50" borderId="0" xfId="46" quotePrefix="1" applyFill="1" applyAlignment="1">
      <alignment horizontal="right"/>
    </xf>
    <xf numFmtId="43" fontId="14" fillId="50" borderId="0" xfId="46" quotePrefix="1" applyNumberFormat="1" applyFill="1" applyAlignment="1">
      <alignment horizontal="right"/>
    </xf>
    <xf numFmtId="175" fontId="62" fillId="47" borderId="0" xfId="0" quotePrefix="1" applyFont="1" applyFill="1" applyAlignment="1">
      <alignment horizontal="left" vertical="top" wrapText="1"/>
    </xf>
    <xf numFmtId="175" fontId="15" fillId="0" borderId="63" xfId="0" applyFont="1" applyBorder="1" applyAlignment="1">
      <alignment horizontal="center"/>
    </xf>
    <xf numFmtId="175" fontId="15" fillId="0" borderId="64" xfId="0" applyFont="1" applyBorder="1" applyAlignment="1">
      <alignment horizontal="center"/>
    </xf>
    <xf numFmtId="175" fontId="15" fillId="0" borderId="65" xfId="0" applyFont="1" applyBorder="1" applyAlignment="1">
      <alignment horizontal="center"/>
    </xf>
    <xf numFmtId="175" fontId="62" fillId="0" borderId="0" xfId="0" quotePrefix="1" applyFont="1" applyBorder="1" applyAlignment="1"/>
    <xf numFmtId="175" fontId="62" fillId="0" borderId="0" xfId="0" applyFont="1" applyBorder="1" applyAlignment="1"/>
    <xf numFmtId="175" fontId="62" fillId="52" borderId="0" xfId="0" quotePrefix="1" applyFont="1" applyFill="1" applyBorder="1" applyAlignment="1"/>
    <xf numFmtId="175" fontId="62" fillId="52" borderId="0" xfId="0" applyFont="1" applyFill="1" applyBorder="1" applyAlignment="1"/>
    <xf numFmtId="175" fontId="62" fillId="0" borderId="0" xfId="0" quotePrefix="1" applyFont="1" applyAlignment="1">
      <alignment horizontal="left" vertical="justify"/>
    </xf>
    <xf numFmtId="175" fontId="15" fillId="0" borderId="17" xfId="0" applyFont="1" applyBorder="1" applyAlignment="1">
      <alignment horizontal="center"/>
    </xf>
    <xf numFmtId="175" fontId="15" fillId="0" borderId="0" xfId="0" applyFont="1" applyBorder="1" applyAlignment="1">
      <alignment horizontal="center"/>
    </xf>
    <xf numFmtId="175" fontId="15" fillId="0" borderId="41" xfId="0" applyFont="1" applyBorder="1" applyAlignment="1">
      <alignment horizontal="center"/>
    </xf>
    <xf numFmtId="175" fontId="69" fillId="0" borderId="0" xfId="0" applyFont="1" applyAlignment="1">
      <alignment vertical="top" wrapText="1"/>
    </xf>
    <xf numFmtId="175" fontId="62" fillId="0" borderId="0" xfId="0" quotePrefix="1" applyFont="1"/>
    <xf numFmtId="175" fontId="62" fillId="0" borderId="0" xfId="0" applyFont="1"/>
    <xf numFmtId="175" fontId="62" fillId="52" borderId="0" xfId="0" quotePrefix="1" applyFont="1" applyFill="1" applyAlignment="1">
      <alignment vertical="justify"/>
    </xf>
    <xf numFmtId="175" fontId="62" fillId="52" borderId="0" xfId="0" applyFont="1" applyFill="1" applyAlignment="1">
      <alignment vertical="justify"/>
    </xf>
    <xf numFmtId="175" fontId="62" fillId="52" borderId="0" xfId="0" quotePrefix="1" applyFont="1" applyFill="1"/>
    <xf numFmtId="175" fontId="62" fillId="52" borderId="0" xfId="0" applyFont="1" applyFill="1"/>
    <xf numFmtId="175" fontId="62" fillId="0" borderId="0" xfId="0" applyFont="1" applyAlignment="1">
      <alignment horizontal="left" vertical="justify"/>
    </xf>
    <xf numFmtId="175" fontId="35" fillId="0" borderId="11" xfId="0" applyFont="1" applyBorder="1" applyAlignment="1" applyProtection="1">
      <alignment horizontal="center"/>
      <protection locked="0"/>
    </xf>
    <xf numFmtId="175" fontId="35"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5" fillId="47" borderId="20" xfId="66" applyFont="1" applyFill="1" applyBorder="1" applyAlignment="1">
      <alignment horizontal="center" wrapText="1"/>
    </xf>
    <xf numFmtId="175" fontId="55" fillId="47" borderId="18" xfId="66" applyFont="1" applyFill="1" applyBorder="1" applyAlignment="1">
      <alignment horizontal="center" wrapText="1"/>
    </xf>
    <xf numFmtId="175" fontId="55" fillId="47" borderId="19" xfId="66" applyFont="1" applyFill="1" applyBorder="1" applyAlignment="1">
      <alignment horizontal="center" wrapText="1"/>
    </xf>
    <xf numFmtId="175" fontId="14" fillId="0" borderId="0" xfId="66" applyAlignment="1">
      <alignment wrapText="1"/>
    </xf>
    <xf numFmtId="175" fontId="62" fillId="0" borderId="0" xfId="66" applyFont="1" applyAlignment="1">
      <alignment wrapText="1"/>
    </xf>
    <xf numFmtId="42" fontId="14" fillId="125" borderId="13" xfId="66" applyNumberFormat="1" applyFill="1" applyBorder="1" applyAlignment="1"/>
    <xf numFmtId="180" fontId="14" fillId="0" borderId="17" xfId="66" applyNumberFormat="1" applyBorder="1" applyAlignment="1"/>
    <xf numFmtId="42" fontId="57" fillId="0" borderId="21" xfId="520" applyNumberFormat="1" applyFont="1" applyBorder="1"/>
  </cellXfs>
  <cellStyles count="3314">
    <cellStyle name="20% - Accent1" xfId="1" builtinId="30" customBuiltin="1"/>
    <cellStyle name="20% - Accent1 10" xfId="2615" xr:uid="{0530D38E-A898-4260-B744-EE0FD3F51670}"/>
    <cellStyle name="20% - Accent1 11" xfId="946" xr:uid="{BDB4F86E-C395-4B17-B047-8C5095DD363A}"/>
    <cellStyle name="20% - Accent1 2" xfId="115" xr:uid="{00000000-0005-0000-0000-000001000000}"/>
    <cellStyle name="20% - Accent1 2 2" xfId="986" xr:uid="{B0F92561-DC52-438D-93BD-56FEC2F54158}"/>
    <cellStyle name="20% - Accent1 2 3" xfId="959" xr:uid="{D5F55993-EF67-4A2B-8AC5-82F99174DB9C}"/>
    <cellStyle name="20% - Accent1 2 3 2" xfId="932" xr:uid="{5756FCE1-F2E9-44A9-9BCD-DF13817ED7DF}"/>
    <cellStyle name="20% - Accent1 2 3 2 2" xfId="1978" xr:uid="{1AF804C7-B6CF-4E3F-8E9D-C44839DA52B8}"/>
    <cellStyle name="20% - Accent1 2 3 2 2 2" xfId="2816" xr:uid="{9F97E78A-BF2C-4A13-9A8A-4E9A2D7BA1C6}"/>
    <cellStyle name="20% - Accent1 2 3 2 3" xfId="2288" xr:uid="{F2E1F472-CE35-4D10-8FEB-758E8C07E3DD}"/>
    <cellStyle name="20% - Accent1 2 3 3" xfId="1808" xr:uid="{D3C92B8B-90D6-43B2-8227-DEE1BA0F0E5B}"/>
    <cellStyle name="20% - Accent1 2 3 3 2" xfId="2646" xr:uid="{70FB1B76-3321-46D4-9106-9DA2EEA22BFB}"/>
    <cellStyle name="20% - Accent1 2 3 4" xfId="2287" xr:uid="{D4B2E421-0561-416A-A741-CB28425CB29D}"/>
    <cellStyle name="20% - Accent1 2 4" xfId="2216" xr:uid="{7EC04D94-F33F-43EE-B7B5-A74ED299E86E}"/>
    <cellStyle name="20% - Accent1 2 5" xfId="985" xr:uid="{496C287B-294B-4B32-85CE-D61DE6A8B3A9}"/>
    <cellStyle name="20% - Accent1 3" xfId="149" xr:uid="{00000000-0005-0000-0000-000002000000}"/>
    <cellStyle name="20% - Accent1 3 2" xfId="979" xr:uid="{205AB90E-089F-45A7-B4E0-E446BED22D60}"/>
    <cellStyle name="20% - Accent1 3 2 2" xfId="1979" xr:uid="{0B6C83EE-8580-457F-8023-6265CAC5FA47}"/>
    <cellStyle name="20% - Accent1 3 2 2 2" xfId="2817" xr:uid="{F988BB2A-E137-44C7-BFDC-91D1A7A233A5}"/>
    <cellStyle name="20% - Accent1 3 2 3" xfId="2290" xr:uid="{6F895BEF-BCED-40AC-96A0-82BD08C4B72E}"/>
    <cellStyle name="20% - Accent1 3 3" xfId="1809" xr:uid="{931AC7EF-5BF8-4AFB-B058-9DF3DAB1E317}"/>
    <cellStyle name="20% - Accent1 3 3 2" xfId="2647" xr:uid="{78A469D2-3877-443D-9D6E-B6F0FBCDFBDA}"/>
    <cellStyle name="20% - Accent1 3 4" xfId="2289" xr:uid="{4303F234-775D-4272-856E-58CA7093D8D3}"/>
    <cellStyle name="20% - Accent1 3 5" xfId="942" xr:uid="{E7080B5B-02A6-4315-B7D0-BA9EBFCC9C42}"/>
    <cellStyle name="20% - Accent1 4" xfId="195" xr:uid="{00000000-0005-0000-0000-000003000000}"/>
    <cellStyle name="20% - Accent1 4 2" xfId="961" xr:uid="{2AA9F089-2F1E-4A3A-B562-720CB4572103}"/>
    <cellStyle name="20% - Accent1 4 2 2" xfId="1977" xr:uid="{5F33A3F2-094E-4F21-9F9B-B8ECE9C453BE}"/>
    <cellStyle name="20% - Accent1 4 2 2 2" xfId="2815" xr:uid="{8030E80E-7422-4935-A2B7-2249CDE04564}"/>
    <cellStyle name="20% - Accent1 4 2 3" xfId="2292" xr:uid="{904A13CC-9511-44BD-A155-55A1461B31BA}"/>
    <cellStyle name="20% - Accent1 4 3" xfId="1807" xr:uid="{AC47F1B8-BBE0-4DD0-97EF-DB99F3D3AE25}"/>
    <cellStyle name="20% - Accent1 4 3 2" xfId="2645" xr:uid="{B162F789-3EB4-478C-B48C-A5391DEB21B6}"/>
    <cellStyle name="20% - Accent1 4 4" xfId="2291" xr:uid="{82B67865-F285-40AF-9237-AC60663EB795}"/>
    <cellStyle name="20% - Accent1 4 5" xfId="960" xr:uid="{02CF68AE-40E1-4C03-A7E5-9AFC9172E6DB}"/>
    <cellStyle name="20% - Accent1 5" xfId="241" xr:uid="{00000000-0005-0000-0000-000004000000}"/>
    <cellStyle name="20% - Accent1 5 2" xfId="1959" xr:uid="{6442A17C-839A-46CD-B1B9-93CBF511BD65}"/>
    <cellStyle name="20% - Accent1 5 2 2" xfId="2797" xr:uid="{80DEC1DD-596A-4720-A340-92C2CEE2C833}"/>
    <cellStyle name="20% - Accent1 5 3" xfId="2293" xr:uid="{7411B0E5-644C-40F4-B004-9B1A2ECC1281}"/>
    <cellStyle name="20% - Accent1 5 4" xfId="947" xr:uid="{CFF7AC42-0470-4B78-BB57-0CCC00B31340}"/>
    <cellStyle name="20% - Accent1 6" xfId="290" xr:uid="{00000000-0005-0000-0000-000005000000}"/>
    <cellStyle name="20% - Accent1 6 2" xfId="2627" xr:uid="{59F633C1-AD72-4529-B123-A543BBBE47A7}"/>
    <cellStyle name="20% - Accent1 6 3" xfId="1789" xr:uid="{6F1A6773-3269-469E-80C2-09CF3E968FCC}"/>
    <cellStyle name="20% - Accent1 7" xfId="354" xr:uid="{00000000-0005-0000-0000-000006000000}"/>
    <cellStyle name="20% - Accent1 7 2" xfId="2969" xr:uid="{89D922CA-8333-4F9E-AB5D-C60140539537}"/>
    <cellStyle name="20% - Accent1 7 3" xfId="2131" xr:uid="{D72A6829-37BD-4F41-9960-E092A72BDF3B}"/>
    <cellStyle name="20% - Accent1 8" xfId="425" xr:uid="{00000000-0005-0000-0000-000007000000}"/>
    <cellStyle name="20% - Accent1 8 2" xfId="2160" xr:uid="{68F8AC44-09E9-4ECD-93A0-EC765A37E977}"/>
    <cellStyle name="20% - Accent1 9" xfId="529" xr:uid="{00000000-0005-0000-0000-000008000000}"/>
    <cellStyle name="20% - Accent1 9 2" xfId="2174" xr:uid="{CBCBBE3E-F28D-4BF9-A80D-AFD5EEA10506}"/>
    <cellStyle name="20% - Accent2" xfId="2" builtinId="34" customBuiltin="1"/>
    <cellStyle name="20% - Accent2 10" xfId="2617" xr:uid="{D45E1C98-4E1F-4737-8142-6EA2ECD1C7F5}"/>
    <cellStyle name="20% - Accent2 11" xfId="920" xr:uid="{2F2F1766-9CCF-4EBF-B47F-27C648F64C4A}"/>
    <cellStyle name="20% - Accent2 2" xfId="116" xr:uid="{00000000-0005-0000-0000-00000A000000}"/>
    <cellStyle name="20% - Accent2 2 2" xfId="984" xr:uid="{411AB685-9CB9-4196-9358-F02608C6E97F}"/>
    <cellStyle name="20% - Accent2 2 3" xfId="962" xr:uid="{A6190496-D203-42E4-857D-DADEE9C883FE}"/>
    <cellStyle name="20% - Accent2 2 3 2" xfId="963" xr:uid="{6895F896-1357-4DDC-B042-E58DA8F2C864}"/>
    <cellStyle name="20% - Accent2 2 3 2 2" xfId="1981" xr:uid="{16FE7A79-5167-4C4B-92E6-4CBB33F1566E}"/>
    <cellStyle name="20% - Accent2 2 3 2 2 2" xfId="2819" xr:uid="{6FD42592-7A67-4D5C-8E59-4284A20DDD45}"/>
    <cellStyle name="20% - Accent2 2 3 2 3" xfId="2295" xr:uid="{2A4ECBE2-27F8-4DBD-BC85-DAC1F0AA44CF}"/>
    <cellStyle name="20% - Accent2 2 3 3" xfId="1811" xr:uid="{21A02DD9-FFA4-402E-AD4B-44701A16DAC2}"/>
    <cellStyle name="20% - Accent2 2 3 3 2" xfId="2649" xr:uid="{792D5E3A-8196-4FB9-95E5-759F715902F2}"/>
    <cellStyle name="20% - Accent2 2 3 4" xfId="2294" xr:uid="{3B21621E-C054-4AE6-8A37-DCB9000D8E03}"/>
    <cellStyle name="20% - Accent2 2 4" xfId="2217" xr:uid="{8F05B092-4DCE-49FC-8339-6A9F810DA9DC}"/>
    <cellStyle name="20% - Accent2 2 5" xfId="989" xr:uid="{F6B2A9EB-0809-4EC2-B20C-AB5E9E7BE794}"/>
    <cellStyle name="20% - Accent2 3" xfId="150" xr:uid="{00000000-0005-0000-0000-00000B000000}"/>
    <cellStyle name="20% - Accent2 3 2" xfId="965" xr:uid="{B6C4C275-46FD-4A52-AFFE-FDD50B16206D}"/>
    <cellStyle name="20% - Accent2 3 2 2" xfId="1982" xr:uid="{35C6017E-1663-4FCF-87BB-6D94940C829F}"/>
    <cellStyle name="20% - Accent2 3 2 2 2" xfId="2820" xr:uid="{924999EB-B6B3-46E5-8475-1793C9FB504D}"/>
    <cellStyle name="20% - Accent2 3 2 3" xfId="2297" xr:uid="{5C6C3C63-DB64-4647-A265-5AD6BE0A1443}"/>
    <cellStyle name="20% - Accent2 3 3" xfId="1812" xr:uid="{75D0AB1F-B9FC-4034-BB14-1369BFBCB17E}"/>
    <cellStyle name="20% - Accent2 3 3 2" xfId="2650" xr:uid="{F2E1BF83-BC92-41D2-9709-E7B16480C76E}"/>
    <cellStyle name="20% - Accent2 3 4" xfId="2296" xr:uid="{C7C4C218-3E26-423B-9E12-AB31850DA3BB}"/>
    <cellStyle name="20% - Accent2 3 5" xfId="964" xr:uid="{747F896C-B310-485C-BD92-091169BFE826}"/>
    <cellStyle name="20% - Accent2 4" xfId="196" xr:uid="{00000000-0005-0000-0000-00000C000000}"/>
    <cellStyle name="20% - Accent2 4 2" xfId="967" xr:uid="{49BD0448-028E-4D2D-924B-D68392E81FBC}"/>
    <cellStyle name="20% - Accent2 4 2 2" xfId="1980" xr:uid="{06A723C7-7256-4880-926D-73AA2CD6A6B5}"/>
    <cellStyle name="20% - Accent2 4 2 2 2" xfId="2818" xr:uid="{F7CCA871-54B0-49B0-856E-66B2421EF67A}"/>
    <cellStyle name="20% - Accent2 4 2 3" xfId="2299" xr:uid="{1747903F-0B48-4C12-9BAD-90FE64F55E93}"/>
    <cellStyle name="20% - Accent2 4 3" xfId="1810" xr:uid="{0D55ACEC-1AEA-4006-B035-2A1814D9ADA4}"/>
    <cellStyle name="20% - Accent2 4 3 2" xfId="2648" xr:uid="{2DB052C7-9684-45DB-A591-59F29978BF64}"/>
    <cellStyle name="20% - Accent2 4 4" xfId="2298" xr:uid="{08219391-EDCF-4578-B04B-4E4572C6F6C3}"/>
    <cellStyle name="20% - Accent2 4 5" xfId="966" xr:uid="{3E164E5F-D548-463E-8B9F-25F30C671444}"/>
    <cellStyle name="20% - Accent2 5" xfId="242" xr:uid="{00000000-0005-0000-0000-00000D000000}"/>
    <cellStyle name="20% - Accent2 5 2" xfId="1960" xr:uid="{6268BA2A-8D35-4295-9938-7664CA5A71D8}"/>
    <cellStyle name="20% - Accent2 5 2 2" xfId="2798" xr:uid="{948ACF38-882A-48B8-AD57-0F2CF7A5AF5C}"/>
    <cellStyle name="20% - Accent2 5 3" xfId="2300" xr:uid="{8D329776-F97E-4510-8EDA-62F7699BCC57}"/>
    <cellStyle name="20% - Accent2 5 4" xfId="968" xr:uid="{1D41414A-D504-41CB-BB73-B4F86C41A2B1}"/>
    <cellStyle name="20% - Accent2 6" xfId="291" xr:uid="{00000000-0005-0000-0000-00000E000000}"/>
    <cellStyle name="20% - Accent2 6 2" xfId="2628" xr:uid="{B5F1A896-7B3A-4D37-B3F1-8BF87E2C41B2}"/>
    <cellStyle name="20% - Accent2 6 3" xfId="1790" xr:uid="{A8679535-76C2-4C95-B1F6-C2F50B4DBCBD}"/>
    <cellStyle name="20% - Accent2 7" xfId="355" xr:uid="{00000000-0005-0000-0000-00000F000000}"/>
    <cellStyle name="20% - Accent2 7 2" xfId="2971" xr:uid="{64F5F296-F612-4CD5-AE57-82342F3A4393}"/>
    <cellStyle name="20% - Accent2 7 3" xfId="2133" xr:uid="{56DF31E3-FB5D-40BA-BE3B-0779244E3523}"/>
    <cellStyle name="20% - Accent2 8" xfId="426" xr:uid="{00000000-0005-0000-0000-000010000000}"/>
    <cellStyle name="20% - Accent2 8 2" xfId="2162" xr:uid="{84855050-F300-458B-B537-D1EC01D7189E}"/>
    <cellStyle name="20% - Accent2 9" xfId="530" xr:uid="{00000000-0005-0000-0000-000011000000}"/>
    <cellStyle name="20% - Accent2 9 2" xfId="2176" xr:uid="{5D233639-AE42-4B0D-8AE6-25139EF609DB}"/>
    <cellStyle name="20% - Accent3" xfId="3" builtinId="38" customBuiltin="1"/>
    <cellStyle name="20% - Accent3 10" xfId="2619" xr:uid="{5CFCA78F-B461-4BCC-B775-E9685F5266A1}"/>
    <cellStyle name="20% - Accent3 11" xfId="954" xr:uid="{9976CA03-160C-4561-8E89-EC9ABB380422}"/>
    <cellStyle name="20% - Accent3 2" xfId="117" xr:uid="{00000000-0005-0000-0000-000013000000}"/>
    <cellStyle name="20% - Accent3 2 2" xfId="970" xr:uid="{DD253FEA-DAA4-4DF6-8EE5-1BB8561DED31}"/>
    <cellStyle name="20% - Accent3 2 3" xfId="971" xr:uid="{CBB66954-7CDD-471D-B5FE-8BC82C9EC750}"/>
    <cellStyle name="20% - Accent3 2 3 2" xfId="972" xr:uid="{093CC219-6515-4797-852E-6AA862DB4FE3}"/>
    <cellStyle name="20% - Accent3 2 3 2 2" xfId="1984" xr:uid="{ECD5F8E7-65A3-4F9F-A2ED-939E87D48675}"/>
    <cellStyle name="20% - Accent3 2 3 2 2 2" xfId="2822" xr:uid="{8C32541B-07CC-4DEC-BC1C-C9AE10448AE5}"/>
    <cellStyle name="20% - Accent3 2 3 2 3" xfId="2302" xr:uid="{7AF0586B-4310-44E5-8DEF-47382984C71B}"/>
    <cellStyle name="20% - Accent3 2 3 3" xfId="1814" xr:uid="{839C1B10-9B83-4B60-AB4B-FE08CDA912F4}"/>
    <cellStyle name="20% - Accent3 2 3 3 2" xfId="2652" xr:uid="{A70331FB-B14B-4662-AD51-6735DAE2076D}"/>
    <cellStyle name="20% - Accent3 2 3 4" xfId="2301" xr:uid="{E1F9037A-2C5B-4BB8-A074-9C70863CF6D1}"/>
    <cellStyle name="20% - Accent3 2 4" xfId="2218" xr:uid="{0A7782A0-8859-4E92-BC1B-36C87E98E6D5}"/>
    <cellStyle name="20% - Accent3 2 5" xfId="969" xr:uid="{4C323FB1-E24A-4CDF-9010-EFBBD52AEA7F}"/>
    <cellStyle name="20% - Accent3 3" xfId="151" xr:uid="{00000000-0005-0000-0000-000014000000}"/>
    <cellStyle name="20% - Accent3 3 2" xfId="974" xr:uid="{724ADA64-E435-46B2-97C4-6CDB46B18919}"/>
    <cellStyle name="20% - Accent3 3 2 2" xfId="1985" xr:uid="{EFF75ED3-9A83-41A3-9445-C9BE4DF6531B}"/>
    <cellStyle name="20% - Accent3 3 2 2 2" xfId="2823" xr:uid="{C881D943-3B7D-47FD-B219-74F48A9E7A25}"/>
    <cellStyle name="20% - Accent3 3 2 3" xfId="2304" xr:uid="{F8983E88-6832-4586-BC30-679C8E76A32B}"/>
    <cellStyle name="20% - Accent3 3 3" xfId="1815" xr:uid="{592F98F2-B4AD-42AB-A6E2-67FF0950841F}"/>
    <cellStyle name="20% - Accent3 3 3 2" xfId="2653" xr:uid="{0AFD1EF2-0FE0-4765-8734-E1D7A3853E8C}"/>
    <cellStyle name="20% - Accent3 3 4" xfId="2303" xr:uid="{0B87E608-DF69-4BD0-9AE9-4033E259A740}"/>
    <cellStyle name="20% - Accent3 3 5" xfId="973" xr:uid="{AB5D054D-9FD3-4F54-AD65-B7435A73F58A}"/>
    <cellStyle name="20% - Accent3 4" xfId="197" xr:uid="{00000000-0005-0000-0000-000015000000}"/>
    <cellStyle name="20% - Accent3 4 2" xfId="976" xr:uid="{9C0D4E76-07E0-4CFB-ABCB-56B683E5C1BA}"/>
    <cellStyle name="20% - Accent3 4 2 2" xfId="1983" xr:uid="{C5E18A03-061D-460C-9E0D-5E4515F30B08}"/>
    <cellStyle name="20% - Accent3 4 2 2 2" xfId="2821" xr:uid="{1E4E49C2-AAC5-4D0D-BC39-B6BAA92C6531}"/>
    <cellStyle name="20% - Accent3 4 2 3" xfId="2306" xr:uid="{FAAC5063-06E2-4296-AF98-8664D2AABEC0}"/>
    <cellStyle name="20% - Accent3 4 3" xfId="1813" xr:uid="{D0B87D49-0A48-40F1-A7CB-BD29ABBC3EF9}"/>
    <cellStyle name="20% - Accent3 4 3 2" xfId="2651" xr:uid="{10423483-C5BF-42FD-8CB6-7B6538F6630F}"/>
    <cellStyle name="20% - Accent3 4 4" xfId="2305" xr:uid="{ADF42BCE-45BB-4408-9F27-C0EA8972DA18}"/>
    <cellStyle name="20% - Accent3 4 5" xfId="975" xr:uid="{543CACB9-489A-41CD-93A0-84EF0D365944}"/>
    <cellStyle name="20% - Accent3 5" xfId="243" xr:uid="{00000000-0005-0000-0000-000016000000}"/>
    <cellStyle name="20% - Accent3 5 2" xfId="1961" xr:uid="{E753CB56-69F4-4C75-ADDD-E0D6EE7BD3A1}"/>
    <cellStyle name="20% - Accent3 5 2 2" xfId="2799" xr:uid="{BD45DB39-6319-4D67-A57B-414913B399B5}"/>
    <cellStyle name="20% - Accent3 5 3" xfId="2307" xr:uid="{10772820-7654-4DBC-AC0F-34B83BBBF6F9}"/>
    <cellStyle name="20% - Accent3 5 4" xfId="977" xr:uid="{ADED9F3F-8F59-4E0E-8A8E-94684C4899FC}"/>
    <cellStyle name="20% - Accent3 6" xfId="292" xr:uid="{00000000-0005-0000-0000-000017000000}"/>
    <cellStyle name="20% - Accent3 6 2" xfId="2629" xr:uid="{DE824507-CB77-4F9F-95D5-EE06AC53C063}"/>
    <cellStyle name="20% - Accent3 6 3" xfId="1791" xr:uid="{F38B3921-7B0D-48AC-BB6C-454285E7984D}"/>
    <cellStyle name="20% - Accent3 7" xfId="356" xr:uid="{00000000-0005-0000-0000-000018000000}"/>
    <cellStyle name="20% - Accent3 7 2" xfId="2973" xr:uid="{EBBCB823-A93A-43C1-927B-87CAA8A2BAAD}"/>
    <cellStyle name="20% - Accent3 7 3" xfId="2135" xr:uid="{725C397B-6B53-4D9C-B684-4026A2DB8815}"/>
    <cellStyle name="20% - Accent3 8" xfId="427" xr:uid="{00000000-0005-0000-0000-000019000000}"/>
    <cellStyle name="20% - Accent3 8 2" xfId="2164" xr:uid="{0F0926F3-ECC6-4B25-9A8F-31F3B010F4B7}"/>
    <cellStyle name="20% - Accent3 9" xfId="531" xr:uid="{00000000-0005-0000-0000-00001A000000}"/>
    <cellStyle name="20% - Accent3 9 2" xfId="2178" xr:uid="{F5635B58-C54B-431A-A9D3-BB0919FD4219}"/>
    <cellStyle name="20% - Accent4" xfId="4" builtinId="42" customBuiltin="1"/>
    <cellStyle name="20% - Accent4 10" xfId="2621" xr:uid="{3B246094-1720-43B5-B680-538F0B9BDA82}"/>
    <cellStyle name="20% - Accent4 11" xfId="915" xr:uid="{5A6EEF32-3650-4018-B54A-AD33BB006856}"/>
    <cellStyle name="20% - Accent4 2" xfId="118" xr:uid="{00000000-0005-0000-0000-00001C000000}"/>
    <cellStyle name="20% - Accent4 2 2" xfId="990" xr:uid="{AD11BAD8-EB0E-4C02-B7E0-C8A5C5BC992E}"/>
    <cellStyle name="20% - Accent4 2 3" xfId="991" xr:uid="{F37AA1A0-CC98-40B9-9C98-EFFDE52DE8EB}"/>
    <cellStyle name="20% - Accent4 2 3 2" xfId="992" xr:uid="{8740DF73-40EF-423B-B763-D97D8BCD625F}"/>
    <cellStyle name="20% - Accent4 2 3 2 2" xfId="1987" xr:uid="{50D7960A-5EBA-4D17-B5E4-486906E08A20}"/>
    <cellStyle name="20% - Accent4 2 3 2 2 2" xfId="2825" xr:uid="{EC1AAE1A-91C5-4103-9B27-4D1D0FE91ACC}"/>
    <cellStyle name="20% - Accent4 2 3 2 3" xfId="2309" xr:uid="{8657D0CA-0A0E-48A8-BF17-7661EF597940}"/>
    <cellStyle name="20% - Accent4 2 3 3" xfId="1817" xr:uid="{46E3803B-4A29-4307-A8A2-D69AB3EB1929}"/>
    <cellStyle name="20% - Accent4 2 3 3 2" xfId="2655" xr:uid="{4004886A-F3E3-45AE-99E6-D759C004DD92}"/>
    <cellStyle name="20% - Accent4 2 3 4" xfId="2308" xr:uid="{26963832-3F73-44E1-979B-DB77DCFAC3E8}"/>
    <cellStyle name="20% - Accent4 2 4" xfId="2219" xr:uid="{075B8647-6530-43C4-ADD7-C3E66A097459}"/>
    <cellStyle name="20% - Accent4 2 5" xfId="978" xr:uid="{41407D36-276F-427E-AA59-25CEF9B39271}"/>
    <cellStyle name="20% - Accent4 3" xfId="152" xr:uid="{00000000-0005-0000-0000-00001D000000}"/>
    <cellStyle name="20% - Accent4 3 2" xfId="994" xr:uid="{8EA00686-9AF7-455A-9C75-384CEBBBD61B}"/>
    <cellStyle name="20% - Accent4 3 2 2" xfId="1988" xr:uid="{E2019116-697E-44F4-B067-14D621F451AB}"/>
    <cellStyle name="20% - Accent4 3 2 2 2" xfId="2826" xr:uid="{FDAC9AD9-EE27-49C4-914E-1AA1BEEC14C2}"/>
    <cellStyle name="20% - Accent4 3 2 3" xfId="2311" xr:uid="{806C6774-D6C7-4EE8-A7F9-0731C5754DE1}"/>
    <cellStyle name="20% - Accent4 3 3" xfId="1818" xr:uid="{083BC5F4-CE7C-44D6-817C-8DE06A951424}"/>
    <cellStyle name="20% - Accent4 3 3 2" xfId="2656" xr:uid="{2EAFABAD-E117-4497-87CC-74CC40D14302}"/>
    <cellStyle name="20% - Accent4 3 4" xfId="2310" xr:uid="{C49B6845-9C0F-408F-847E-7BB01040D4FD}"/>
    <cellStyle name="20% - Accent4 3 5" xfId="993" xr:uid="{DDD2C970-219F-4FC0-9272-5809ACEBDED1}"/>
    <cellStyle name="20% - Accent4 4" xfId="198" xr:uid="{00000000-0005-0000-0000-00001E000000}"/>
    <cellStyle name="20% - Accent4 4 2" xfId="996" xr:uid="{BE25CD25-1068-40EC-976D-64B4DB0B9F1A}"/>
    <cellStyle name="20% - Accent4 4 2 2" xfId="1986" xr:uid="{744944CC-AFC2-4AEA-A3B0-9BA055A9C307}"/>
    <cellStyle name="20% - Accent4 4 2 2 2" xfId="2824" xr:uid="{598AA6E2-7C39-4ABB-999E-6F0B383D7539}"/>
    <cellStyle name="20% - Accent4 4 2 3" xfId="2313" xr:uid="{78686982-BAEA-4E23-962D-280F43539678}"/>
    <cellStyle name="20% - Accent4 4 3" xfId="1816" xr:uid="{83190624-4E4D-4E40-A1C7-92888BFA02F8}"/>
    <cellStyle name="20% - Accent4 4 3 2" xfId="2654" xr:uid="{49A10E1E-DC85-408D-B63A-6065F56D789C}"/>
    <cellStyle name="20% - Accent4 4 4" xfId="2312" xr:uid="{6FCF534A-0EA9-4B7F-9F79-A333B98820D7}"/>
    <cellStyle name="20% - Accent4 4 5" xfId="995" xr:uid="{DFA5EF04-B3E9-4B5D-9F85-2930EA017724}"/>
    <cellStyle name="20% - Accent4 5" xfId="244" xr:uid="{00000000-0005-0000-0000-00001F000000}"/>
    <cellStyle name="20% - Accent4 5 2" xfId="1962" xr:uid="{ADA161F3-2D41-4676-BD2F-3E7196E94731}"/>
    <cellStyle name="20% - Accent4 5 2 2" xfId="2800" xr:uid="{2F1CB915-6CC7-44FD-951C-00B876F43780}"/>
    <cellStyle name="20% - Accent4 5 3" xfId="2314" xr:uid="{9747D78F-093D-4B47-8A38-96D7F968850B}"/>
    <cellStyle name="20% - Accent4 5 4" xfId="997" xr:uid="{3CC0B8DE-554D-4A59-8AE4-77900C732C2A}"/>
    <cellStyle name="20% - Accent4 6" xfId="293" xr:uid="{00000000-0005-0000-0000-000020000000}"/>
    <cellStyle name="20% - Accent4 6 2" xfId="2630" xr:uid="{E591D52A-CCE6-4B0B-8597-1A6DBEF752A2}"/>
    <cellStyle name="20% - Accent4 6 3" xfId="1792" xr:uid="{F940F4DD-2457-47CA-97AD-8792B5DBC7C5}"/>
    <cellStyle name="20% - Accent4 7" xfId="357" xr:uid="{00000000-0005-0000-0000-000021000000}"/>
    <cellStyle name="20% - Accent4 7 2" xfId="2975" xr:uid="{0B41D3AE-EA91-4627-B1BC-B18C40D99F8D}"/>
    <cellStyle name="20% - Accent4 7 3" xfId="2137" xr:uid="{AFA90D69-FED5-45B2-BC8B-3ABC622E7564}"/>
    <cellStyle name="20% - Accent4 8" xfId="428" xr:uid="{00000000-0005-0000-0000-000022000000}"/>
    <cellStyle name="20% - Accent4 8 2" xfId="2166" xr:uid="{279FEF06-27CB-4D4A-8DC7-721ACEEA3476}"/>
    <cellStyle name="20% - Accent4 9" xfId="532" xr:uid="{00000000-0005-0000-0000-000023000000}"/>
    <cellStyle name="20% - Accent4 9 2" xfId="2180" xr:uid="{9C5FA449-C34D-49CA-B79F-5874FCBE6CDD}"/>
    <cellStyle name="20% - Accent5" xfId="5" builtinId="46" customBuiltin="1"/>
    <cellStyle name="20% - Accent5 10" xfId="2623" xr:uid="{6838C6DB-F91B-405D-9955-F790BD8866AB}"/>
    <cellStyle name="20% - Accent5 11" xfId="955" xr:uid="{65D9CE5D-1048-4C74-92E8-52AAD66AFC95}"/>
    <cellStyle name="20% - Accent5 2" xfId="119" xr:uid="{00000000-0005-0000-0000-000025000000}"/>
    <cellStyle name="20% - Accent5 2 2" xfId="999" xr:uid="{7B5C3155-02B1-4EDC-8B6B-5B064CD8FACE}"/>
    <cellStyle name="20% - Accent5 2 3" xfId="1000" xr:uid="{5A35E671-037E-4446-B676-B44A4A44C604}"/>
    <cellStyle name="20% - Accent5 2 3 2" xfId="1001" xr:uid="{7C69208B-6F47-419A-A30F-7D48C2B6C02A}"/>
    <cellStyle name="20% - Accent5 2 3 2 2" xfId="1990" xr:uid="{D7B6362A-66A5-4F7C-860F-221FBE4B7D1F}"/>
    <cellStyle name="20% - Accent5 2 3 2 2 2" xfId="2828" xr:uid="{E40D3A5F-568E-4EDF-A2C6-E1490F686110}"/>
    <cellStyle name="20% - Accent5 2 3 2 3" xfId="2316" xr:uid="{0A18502E-91A4-4CA9-AA6A-834170908847}"/>
    <cellStyle name="20% - Accent5 2 3 3" xfId="1820" xr:uid="{56132001-12FE-43E0-A866-2099ECB6DAA4}"/>
    <cellStyle name="20% - Accent5 2 3 3 2" xfId="2658" xr:uid="{45706CF6-E31B-4035-9572-EB5647294671}"/>
    <cellStyle name="20% - Accent5 2 3 4" xfId="2315" xr:uid="{EAF24546-C969-44E0-B446-36ACA632C60B}"/>
    <cellStyle name="20% - Accent5 2 4" xfId="2220" xr:uid="{F98227FC-5253-4B46-9E09-F249A2650BFA}"/>
    <cellStyle name="20% - Accent5 2 5" xfId="998" xr:uid="{8760A610-AD8B-447D-BBC5-668CB764E525}"/>
    <cellStyle name="20% - Accent5 3" xfId="153" xr:uid="{00000000-0005-0000-0000-000026000000}"/>
    <cellStyle name="20% - Accent5 3 2" xfId="1003" xr:uid="{9EF973E9-CAF4-4B7B-962C-3BF2F8E8CC62}"/>
    <cellStyle name="20% - Accent5 3 2 2" xfId="1991" xr:uid="{928F28D5-455D-42E0-B049-F840D568D4AF}"/>
    <cellStyle name="20% - Accent5 3 2 2 2" xfId="2829" xr:uid="{39F47B1B-CC14-415D-B7B6-A9686C46E583}"/>
    <cellStyle name="20% - Accent5 3 2 3" xfId="2318" xr:uid="{ECEEC8EF-F888-4F3D-A6EF-6D8436AAAEA3}"/>
    <cellStyle name="20% - Accent5 3 3" xfId="1821" xr:uid="{AD14CF76-C82F-48DF-BF54-C960C90F9C84}"/>
    <cellStyle name="20% - Accent5 3 3 2" xfId="2659" xr:uid="{53B9054F-287D-4ED0-A13F-5533116E6542}"/>
    <cellStyle name="20% - Accent5 3 4" xfId="2317" xr:uid="{FF60A855-3B8A-4019-9058-ED5FAF5861E8}"/>
    <cellStyle name="20% - Accent5 3 5" xfId="1002" xr:uid="{66A87533-90B6-4B1A-B0E5-C9B470CD23B3}"/>
    <cellStyle name="20% - Accent5 4" xfId="199" xr:uid="{00000000-0005-0000-0000-000027000000}"/>
    <cellStyle name="20% - Accent5 4 2" xfId="1005" xr:uid="{AA644061-9800-4EC0-8A2D-50A8B4859DBA}"/>
    <cellStyle name="20% - Accent5 4 2 2" xfId="1989" xr:uid="{65F84DE7-7582-4CE5-AAE4-089F874701F2}"/>
    <cellStyle name="20% - Accent5 4 2 2 2" xfId="2827" xr:uid="{473D1B3D-8A9C-4F6C-8B8D-DBDD8805BDB1}"/>
    <cellStyle name="20% - Accent5 4 2 3" xfId="2320" xr:uid="{29086845-2772-429E-9818-D7E62C0C192B}"/>
    <cellStyle name="20% - Accent5 4 3" xfId="1819" xr:uid="{6821BDDF-2075-48EF-91B5-8E552E9AE38D}"/>
    <cellStyle name="20% - Accent5 4 3 2" xfId="2657" xr:uid="{13EF4B57-3E05-4E81-ACD7-C490BEC58E3F}"/>
    <cellStyle name="20% - Accent5 4 4" xfId="2319" xr:uid="{7879E237-7FC4-4E34-8CEB-AC4398F530CB}"/>
    <cellStyle name="20% - Accent5 4 5" xfId="1004" xr:uid="{1899A785-A684-45DA-AE71-1FD9C1F733EA}"/>
    <cellStyle name="20% - Accent5 5" xfId="245" xr:uid="{00000000-0005-0000-0000-000028000000}"/>
    <cellStyle name="20% - Accent5 5 2" xfId="1963" xr:uid="{D8B730FA-47E5-4692-90C1-F0F8DBD24AA6}"/>
    <cellStyle name="20% - Accent5 5 2 2" xfId="2801" xr:uid="{C9A74226-BC2B-440C-846F-873E586DC660}"/>
    <cellStyle name="20% - Accent5 5 3" xfId="2321" xr:uid="{1AA93757-A072-4EA9-AC5D-F4084391F2BE}"/>
    <cellStyle name="20% - Accent5 5 4" xfId="1006" xr:uid="{371A469F-AC47-4255-A777-DC99FF1E267C}"/>
    <cellStyle name="20% - Accent5 6" xfId="294" xr:uid="{00000000-0005-0000-0000-000029000000}"/>
    <cellStyle name="20% - Accent5 6 2" xfId="2631" xr:uid="{78177C13-B088-4043-8BE7-9473C983F540}"/>
    <cellStyle name="20% - Accent5 6 3" xfId="1793" xr:uid="{D5581B2D-3A53-4D15-B3E3-5833254AF209}"/>
    <cellStyle name="20% - Accent5 7" xfId="358" xr:uid="{00000000-0005-0000-0000-00002A000000}"/>
    <cellStyle name="20% - Accent5 7 2" xfId="2977" xr:uid="{7EFC81BD-072A-4105-A587-0039157F90AD}"/>
    <cellStyle name="20% - Accent5 7 3" xfId="2139" xr:uid="{F83AD71D-90F4-43AB-AF68-AA61A396CEBF}"/>
    <cellStyle name="20% - Accent5 8" xfId="429" xr:uid="{00000000-0005-0000-0000-00002B000000}"/>
    <cellStyle name="20% - Accent5 8 2" xfId="2168" xr:uid="{79F8541E-4003-4E4A-8FB0-75B183F81C6D}"/>
    <cellStyle name="20% - Accent5 9" xfId="533" xr:uid="{00000000-0005-0000-0000-00002C000000}"/>
    <cellStyle name="20% - Accent5 9 2" xfId="2182" xr:uid="{AFC5FC3C-446B-4FFD-BD2F-2CA2F2885C3E}"/>
    <cellStyle name="20% - Accent6" xfId="6" builtinId="50" customBuiltin="1"/>
    <cellStyle name="20% - Accent6 10" xfId="2625" xr:uid="{139A38CA-48A4-420F-A66C-C60413E459E3}"/>
    <cellStyle name="20% - Accent6 11" xfId="958" xr:uid="{B196BEDD-6B0C-4E1B-87E6-F4BD78EECC60}"/>
    <cellStyle name="20% - Accent6 2" xfId="120" xr:uid="{00000000-0005-0000-0000-00002E000000}"/>
    <cellStyle name="20% - Accent6 2 2" xfId="1008" xr:uid="{32A5127A-3158-42F6-ACB8-F01D7AD7CBAE}"/>
    <cellStyle name="20% - Accent6 2 3" xfId="1009" xr:uid="{15F34193-FEFE-41FB-B285-50FEE25AC214}"/>
    <cellStyle name="20% - Accent6 2 3 2" xfId="1010" xr:uid="{29751FB2-23BC-4A0B-9D2B-386F70DDBD1D}"/>
    <cellStyle name="20% - Accent6 2 3 2 2" xfId="1993" xr:uid="{767E7C03-25F3-4099-A590-8993B88049A2}"/>
    <cellStyle name="20% - Accent6 2 3 2 2 2" xfId="2831" xr:uid="{C8CE4F9D-3B59-4168-9DC4-1F8CFCE3A7DA}"/>
    <cellStyle name="20% - Accent6 2 3 2 3" xfId="2323" xr:uid="{37B0D38D-241E-4FD5-9913-741F562B68BD}"/>
    <cellStyle name="20% - Accent6 2 3 3" xfId="1823" xr:uid="{DE964CA4-EFEA-4507-B351-4BC01D0B1A19}"/>
    <cellStyle name="20% - Accent6 2 3 3 2" xfId="2661" xr:uid="{6773F93F-E0A5-46F6-BE89-C126DBA3A359}"/>
    <cellStyle name="20% - Accent6 2 3 4" xfId="2322" xr:uid="{8B9AC681-C74B-49D8-B5DF-8951548AEDDF}"/>
    <cellStyle name="20% - Accent6 2 4" xfId="2221" xr:uid="{1A3DBE4A-C500-4E69-90EF-CF2C4EF38B1E}"/>
    <cellStyle name="20% - Accent6 2 5" xfId="1007" xr:uid="{9B49734C-E797-4017-9F8B-57F174BA59E8}"/>
    <cellStyle name="20% - Accent6 3" xfId="154" xr:uid="{00000000-0005-0000-0000-00002F000000}"/>
    <cellStyle name="20% - Accent6 3 2" xfId="1012" xr:uid="{1FFCAC97-0DD8-4341-AECB-C9037D8A9C54}"/>
    <cellStyle name="20% - Accent6 3 2 2" xfId="1994" xr:uid="{F0964D8A-F982-47DB-9D2A-69AAA5276D6E}"/>
    <cellStyle name="20% - Accent6 3 2 2 2" xfId="2832" xr:uid="{55830FB8-ECCE-463F-980D-00966899FD23}"/>
    <cellStyle name="20% - Accent6 3 2 3" xfId="2325" xr:uid="{969F23C2-3B2F-4F92-96BA-B58367C225A6}"/>
    <cellStyle name="20% - Accent6 3 3" xfId="1824" xr:uid="{EA9F2BF0-7637-430B-A65A-B6B2AB02AE85}"/>
    <cellStyle name="20% - Accent6 3 3 2" xfId="2662" xr:uid="{3A61757D-1082-4B74-8AC7-9DEC567E744A}"/>
    <cellStyle name="20% - Accent6 3 4" xfId="2324" xr:uid="{FC852339-ADB8-4F5E-A0CD-97DB78B76527}"/>
    <cellStyle name="20% - Accent6 3 5" xfId="1011" xr:uid="{949DA3A4-504F-499F-951E-89B06CD75A3B}"/>
    <cellStyle name="20% - Accent6 4" xfId="200" xr:uid="{00000000-0005-0000-0000-000030000000}"/>
    <cellStyle name="20% - Accent6 4 2" xfId="1014" xr:uid="{3C103C63-E1FB-49A7-B883-6396EC392837}"/>
    <cellStyle name="20% - Accent6 4 2 2" xfId="1992" xr:uid="{D71DC411-7CA8-48C4-BECA-07D33584524A}"/>
    <cellStyle name="20% - Accent6 4 2 2 2" xfId="2830" xr:uid="{38C70ADE-5196-4C51-BB7B-8725CC6ED438}"/>
    <cellStyle name="20% - Accent6 4 2 3" xfId="2327" xr:uid="{5028CC10-8F79-42F4-AA4F-14F8812C8659}"/>
    <cellStyle name="20% - Accent6 4 3" xfId="1822" xr:uid="{4E34EB62-5440-42DD-8BB2-B6A5B5AA818A}"/>
    <cellStyle name="20% - Accent6 4 3 2" xfId="2660" xr:uid="{DA677DDD-626D-4ABD-9AD8-40C33D5EA3D7}"/>
    <cellStyle name="20% - Accent6 4 4" xfId="2326" xr:uid="{9F4BA4ED-C76C-40B3-A529-40F93C5044D5}"/>
    <cellStyle name="20% - Accent6 4 5" xfId="1013" xr:uid="{9835A1A3-582B-4CC5-BEB3-3F9F0E66E2FC}"/>
    <cellStyle name="20% - Accent6 5" xfId="246" xr:uid="{00000000-0005-0000-0000-000031000000}"/>
    <cellStyle name="20% - Accent6 5 2" xfId="1964" xr:uid="{C4A807BD-1441-4A64-B357-61DF14CEDC7F}"/>
    <cellStyle name="20% - Accent6 5 2 2" xfId="2802" xr:uid="{806E15D8-A54D-4A6E-9772-D01A7672815B}"/>
    <cellStyle name="20% - Accent6 5 3" xfId="2328" xr:uid="{0621E947-548F-4EE2-99F6-CCF6F1B65603}"/>
    <cellStyle name="20% - Accent6 5 4" xfId="1015" xr:uid="{4621D1A5-CB6A-48BB-8500-CA57A2AD7313}"/>
    <cellStyle name="20% - Accent6 6" xfId="295" xr:uid="{00000000-0005-0000-0000-000032000000}"/>
    <cellStyle name="20% - Accent6 6 2" xfId="2632" xr:uid="{22D31A18-E558-42D0-8E06-9901EE55CA19}"/>
    <cellStyle name="20% - Accent6 6 3" xfId="1794" xr:uid="{E6EBB1C7-654C-4277-89B4-491E8CD6B2C3}"/>
    <cellStyle name="20% - Accent6 7" xfId="359" xr:uid="{00000000-0005-0000-0000-000033000000}"/>
    <cellStyle name="20% - Accent6 7 2" xfId="2979" xr:uid="{1D4239AF-0E88-411D-B0C6-31687C78CA14}"/>
    <cellStyle name="20% - Accent6 7 3" xfId="2141" xr:uid="{451580E6-A980-4075-9D43-10BF72B6A4CC}"/>
    <cellStyle name="20% - Accent6 8" xfId="430" xr:uid="{00000000-0005-0000-0000-000034000000}"/>
    <cellStyle name="20% - Accent6 8 2" xfId="2170" xr:uid="{9F0149A4-331C-43E7-A5AD-DBED7B7EDFB2}"/>
    <cellStyle name="20% - Accent6 9" xfId="534" xr:uid="{00000000-0005-0000-0000-000035000000}"/>
    <cellStyle name="20% - Accent6 9 2" xfId="2184" xr:uid="{B0835F1C-8ADD-4FC2-956F-2355BE589A25}"/>
    <cellStyle name="40% - Accent1" xfId="7" builtinId="31" customBuiltin="1"/>
    <cellStyle name="40% - Accent1 10" xfId="2616" xr:uid="{8DCF070A-6C11-487D-BFBD-3D35B39B9F92}"/>
    <cellStyle name="40% - Accent1 11" xfId="944" xr:uid="{46097E77-5F1A-4B07-AE71-FAFFE50481D3}"/>
    <cellStyle name="40% - Accent1 2" xfId="121" xr:uid="{00000000-0005-0000-0000-000037000000}"/>
    <cellStyle name="40% - Accent1 2 2" xfId="1017" xr:uid="{EE48B4A9-65FA-4FC8-8680-BDD0BA5C69A3}"/>
    <cellStyle name="40% - Accent1 2 3" xfId="1018" xr:uid="{DC9195C7-F47C-43FD-BA98-0D0C4E98A4A6}"/>
    <cellStyle name="40% - Accent1 2 3 2" xfId="1019" xr:uid="{D6B387A6-9662-44E6-BEFE-7848465CE965}"/>
    <cellStyle name="40% - Accent1 2 3 2 2" xfId="1996" xr:uid="{8EEB65FC-E9BB-4FC4-B673-61FC5029F6AC}"/>
    <cellStyle name="40% - Accent1 2 3 2 2 2" xfId="2834" xr:uid="{5CE6FBD4-4399-4CAD-B4E9-2BA8007C0CC6}"/>
    <cellStyle name="40% - Accent1 2 3 2 3" xfId="2330" xr:uid="{55C66B1D-61A6-42B8-BB57-CB269C402D79}"/>
    <cellStyle name="40% - Accent1 2 3 3" xfId="1826" xr:uid="{B9432942-8463-453B-8802-AA2CDBDB5784}"/>
    <cellStyle name="40% - Accent1 2 3 3 2" xfId="2664" xr:uid="{D7FC95AD-F906-4945-980F-972E3AC29BFF}"/>
    <cellStyle name="40% - Accent1 2 3 4" xfId="2329" xr:uid="{3FBA806A-E593-477C-A3AD-B2E19FDD9E5E}"/>
    <cellStyle name="40% - Accent1 2 4" xfId="2223" xr:uid="{C5B0BFA0-089B-4BCA-A9E6-F0301307232A}"/>
    <cellStyle name="40% - Accent1 2 5" xfId="1016" xr:uid="{648F07C3-F6A0-4826-8FEB-8532217C7658}"/>
    <cellStyle name="40% - Accent1 3" xfId="155" xr:uid="{00000000-0005-0000-0000-000038000000}"/>
    <cellStyle name="40% - Accent1 3 2" xfId="1021" xr:uid="{FE370C24-3AD6-4B1E-8457-DA0B7F8C3794}"/>
    <cellStyle name="40% - Accent1 3 2 2" xfId="1997" xr:uid="{582F2FE9-89BA-4469-9809-F8BA59B69C97}"/>
    <cellStyle name="40% - Accent1 3 2 2 2" xfId="2835" xr:uid="{3F8EF19E-78A2-4245-A3E0-4C517A27EFC5}"/>
    <cellStyle name="40% - Accent1 3 2 3" xfId="2332" xr:uid="{7818673E-111F-4712-8F55-9203627E9E64}"/>
    <cellStyle name="40% - Accent1 3 3" xfId="1827" xr:uid="{12EAA968-45E3-4A12-AAFC-A166182F278F}"/>
    <cellStyle name="40% - Accent1 3 3 2" xfId="2665" xr:uid="{C78DA72A-A91C-423D-A85C-FE7612BFD611}"/>
    <cellStyle name="40% - Accent1 3 4" xfId="2331" xr:uid="{6E5D48A6-D5C8-43AA-9B31-772799AB031B}"/>
    <cellStyle name="40% - Accent1 3 5" xfId="1020" xr:uid="{FF522930-8B14-4E28-8E4A-BB5ED8305E8E}"/>
    <cellStyle name="40% - Accent1 4" xfId="201" xr:uid="{00000000-0005-0000-0000-000039000000}"/>
    <cellStyle name="40% - Accent1 4 2" xfId="1023" xr:uid="{93840538-DAE1-4C0D-9FE3-5F0452C86E85}"/>
    <cellStyle name="40% - Accent1 4 2 2" xfId="1995" xr:uid="{AD96C125-14A3-49C9-9B4D-A0DE30A33181}"/>
    <cellStyle name="40% - Accent1 4 2 2 2" xfId="2833" xr:uid="{DC2E03EB-4AD4-41A0-8838-D2B0574D9909}"/>
    <cellStyle name="40% - Accent1 4 2 3" xfId="2334" xr:uid="{42B24712-EF83-4749-8AB1-3FB5AAC83AA2}"/>
    <cellStyle name="40% - Accent1 4 3" xfId="1825" xr:uid="{4D5FCDA6-F22E-4E53-BAB4-3D2999636ED7}"/>
    <cellStyle name="40% - Accent1 4 3 2" xfId="2663" xr:uid="{6831E5E7-98ED-4212-814C-282CF515E354}"/>
    <cellStyle name="40% - Accent1 4 4" xfId="2333" xr:uid="{92A1FEFF-F629-41EC-B43C-36C71232A3E0}"/>
    <cellStyle name="40% - Accent1 4 5" xfId="1022" xr:uid="{A22BB37C-CB2B-478D-807B-8FE7BF86C5E7}"/>
    <cellStyle name="40% - Accent1 5" xfId="247" xr:uid="{00000000-0005-0000-0000-00003A000000}"/>
    <cellStyle name="40% - Accent1 5 2" xfId="1965" xr:uid="{58C80BFF-42C7-4126-BAA6-119CEBA75570}"/>
    <cellStyle name="40% - Accent1 5 2 2" xfId="2803" xr:uid="{DF6CD9D2-F7E2-475C-8B4F-015AA8A4DA14}"/>
    <cellStyle name="40% - Accent1 5 3" xfId="2335" xr:uid="{0C00D2A3-64B5-4CCF-9C89-79857C6CF382}"/>
    <cellStyle name="40% - Accent1 5 4" xfId="1024" xr:uid="{1DA25C8A-EFCF-4CD2-A4CB-0EFAB4A69DC5}"/>
    <cellStyle name="40% - Accent1 6" xfId="296" xr:uid="{00000000-0005-0000-0000-00003B000000}"/>
    <cellStyle name="40% - Accent1 6 2" xfId="2633" xr:uid="{D952AC11-1B1F-42FD-975A-1AD990526C1B}"/>
    <cellStyle name="40% - Accent1 6 3" xfId="1795" xr:uid="{56E05594-FA1E-4647-B277-307FDA961CF2}"/>
    <cellStyle name="40% - Accent1 7" xfId="360" xr:uid="{00000000-0005-0000-0000-00003C000000}"/>
    <cellStyle name="40% - Accent1 7 2" xfId="2970" xr:uid="{336063C9-E1F0-4D0B-8A93-DDEE942B6C77}"/>
    <cellStyle name="40% - Accent1 7 3" xfId="2132" xr:uid="{9A52F3B6-521F-40F9-9248-D65415BD5E99}"/>
    <cellStyle name="40% - Accent1 8" xfId="431" xr:uid="{00000000-0005-0000-0000-00003D000000}"/>
    <cellStyle name="40% - Accent1 8 2" xfId="2161" xr:uid="{446425C6-AD67-4B85-92C7-39C2BF478FD3}"/>
    <cellStyle name="40% - Accent1 9" xfId="535" xr:uid="{00000000-0005-0000-0000-00003E000000}"/>
    <cellStyle name="40% - Accent1 9 2" xfId="2175" xr:uid="{4A54814F-EC79-4125-A046-4E0F4D9EF67B}"/>
    <cellStyle name="40% - Accent2" xfId="8" builtinId="35" customBuiltin="1"/>
    <cellStyle name="40% - Accent2 10" xfId="2618" xr:uid="{4ED8CBBC-0D55-4F26-B119-846424F4CA95}"/>
    <cellStyle name="40% - Accent2 11" xfId="893" xr:uid="{D6CC90F6-0DF7-49B8-A513-9DD4961A0502}"/>
    <cellStyle name="40% - Accent2 2" xfId="122" xr:uid="{00000000-0005-0000-0000-000040000000}"/>
    <cellStyle name="40% - Accent2 2 2" xfId="1026" xr:uid="{6B5255D9-CB53-4690-9973-FD8E659E02A4}"/>
    <cellStyle name="40% - Accent2 2 3" xfId="1027" xr:uid="{22D0D5E1-605C-46D1-B31F-A850489A6057}"/>
    <cellStyle name="40% - Accent2 2 3 2" xfId="1028" xr:uid="{0D1AE1B7-00C9-4A6B-AD84-23BFF950FA87}"/>
    <cellStyle name="40% - Accent2 2 3 2 2" xfId="1999" xr:uid="{A18D3EB8-3271-4554-9210-65D763B37097}"/>
    <cellStyle name="40% - Accent2 2 3 2 2 2" xfId="2837" xr:uid="{C72ACBCA-2B43-4030-94FD-74F11BE8E98D}"/>
    <cellStyle name="40% - Accent2 2 3 2 3" xfId="2337" xr:uid="{FDDC75C2-50C9-48D5-91C8-FB9B4F8BB5BF}"/>
    <cellStyle name="40% - Accent2 2 3 3" xfId="1829" xr:uid="{CE441B61-9CA3-42A6-9CF0-09C2530BD27E}"/>
    <cellStyle name="40% - Accent2 2 3 3 2" xfId="2667" xr:uid="{E9789472-8691-4150-B608-79D41C1601FE}"/>
    <cellStyle name="40% - Accent2 2 3 4" xfId="2336" xr:uid="{F0DE6004-854A-42D2-8D1E-14BAD10469BC}"/>
    <cellStyle name="40% - Accent2 2 4" xfId="2224" xr:uid="{9B866BF4-7507-4FBB-AB72-CC085B508EF7}"/>
    <cellStyle name="40% - Accent2 2 5" xfId="1025" xr:uid="{46A41531-F2B5-4F5F-8A35-BAB4B088FFB2}"/>
    <cellStyle name="40% - Accent2 3" xfId="156" xr:uid="{00000000-0005-0000-0000-000041000000}"/>
    <cellStyle name="40% - Accent2 3 2" xfId="1030" xr:uid="{5322D6BD-A374-461D-8A70-1C146D8AF3FA}"/>
    <cellStyle name="40% - Accent2 3 2 2" xfId="2000" xr:uid="{E68FD63E-C94A-456A-B05F-9BC4970E5B73}"/>
    <cellStyle name="40% - Accent2 3 2 2 2" xfId="2838" xr:uid="{868C5B54-0648-4ECE-BF6F-8584BB61DCD7}"/>
    <cellStyle name="40% - Accent2 3 2 3" xfId="2339" xr:uid="{358ACF96-D8BB-426E-9EF4-7C19C5E69CBB}"/>
    <cellStyle name="40% - Accent2 3 3" xfId="1830" xr:uid="{8FAF9D24-EACF-4860-9C7E-45EA276D9B71}"/>
    <cellStyle name="40% - Accent2 3 3 2" xfId="2668" xr:uid="{9B7490B5-40BB-446A-8CB6-D30DBA58E466}"/>
    <cellStyle name="40% - Accent2 3 4" xfId="2338" xr:uid="{3629ABE5-6672-4DFD-8EA0-15587EA23525}"/>
    <cellStyle name="40% - Accent2 3 5" xfId="1029" xr:uid="{3B09D580-820C-49FB-81A3-01EFBA75B48F}"/>
    <cellStyle name="40% - Accent2 4" xfId="202" xr:uid="{00000000-0005-0000-0000-000042000000}"/>
    <cellStyle name="40% - Accent2 4 2" xfId="1032" xr:uid="{42DC46C4-87E8-4925-A28E-816E5CF076A2}"/>
    <cellStyle name="40% - Accent2 4 2 2" xfId="1998" xr:uid="{6E81AC5C-F2D9-4EE1-ADA9-839D4521C0B1}"/>
    <cellStyle name="40% - Accent2 4 2 2 2" xfId="2836" xr:uid="{DC2E255B-C60C-469C-B104-B54343E1DAA6}"/>
    <cellStyle name="40% - Accent2 4 2 3" xfId="2341" xr:uid="{B39BC855-4F75-40C9-B574-7E5834953957}"/>
    <cellStyle name="40% - Accent2 4 3" xfId="1828" xr:uid="{D2E37A67-86B6-4258-8CF7-3FBD20E638BF}"/>
    <cellStyle name="40% - Accent2 4 3 2" xfId="2666" xr:uid="{253A0C2D-EB5A-47C9-936E-4EAAD8078C74}"/>
    <cellStyle name="40% - Accent2 4 4" xfId="2340" xr:uid="{2B579A92-8853-4B2D-A889-742FAADED4CE}"/>
    <cellStyle name="40% - Accent2 4 5" xfId="1031" xr:uid="{0E944379-D451-43BF-BF64-4870F4FAEEF1}"/>
    <cellStyle name="40% - Accent2 5" xfId="248" xr:uid="{00000000-0005-0000-0000-000043000000}"/>
    <cellStyle name="40% - Accent2 5 2" xfId="1966" xr:uid="{F4E17101-50B3-41ED-BB4D-641C96D86CED}"/>
    <cellStyle name="40% - Accent2 5 2 2" xfId="2804" xr:uid="{57F9DBBA-BECF-48E1-8CC2-5F1149710052}"/>
    <cellStyle name="40% - Accent2 5 3" xfId="2342" xr:uid="{204C8AEF-F453-46A4-98E9-999A1C6C5EF7}"/>
    <cellStyle name="40% - Accent2 5 4" xfId="1033" xr:uid="{BCC49285-3421-4C7C-80B3-0ED30D6AABD8}"/>
    <cellStyle name="40% - Accent2 6" xfId="297" xr:uid="{00000000-0005-0000-0000-000044000000}"/>
    <cellStyle name="40% - Accent2 6 2" xfId="2634" xr:uid="{85F7B6F5-D95E-4D94-82BB-E7D0DA33D648}"/>
    <cellStyle name="40% - Accent2 6 3" xfId="1796" xr:uid="{E15BB069-C0DC-4BC4-95EB-E54BF7CD2FBA}"/>
    <cellStyle name="40% - Accent2 7" xfId="361" xr:uid="{00000000-0005-0000-0000-000045000000}"/>
    <cellStyle name="40% - Accent2 7 2" xfId="2972" xr:uid="{E6E563E8-0CBF-4BBC-ACC2-A09A31F533A9}"/>
    <cellStyle name="40% - Accent2 7 3" xfId="2134" xr:uid="{C1422F2F-CEE7-4A3C-99AC-C1E5168BBFFF}"/>
    <cellStyle name="40% - Accent2 8" xfId="432" xr:uid="{00000000-0005-0000-0000-000046000000}"/>
    <cellStyle name="40% - Accent2 8 2" xfId="2163" xr:uid="{C9041BBB-5899-4B75-83E2-84C6BC5BA982}"/>
    <cellStyle name="40% - Accent2 9" xfId="536" xr:uid="{00000000-0005-0000-0000-000047000000}"/>
    <cellStyle name="40% - Accent2 9 2" xfId="2177" xr:uid="{21DC29D4-E009-49F0-8C87-AB9B553F1698}"/>
    <cellStyle name="40% - Accent3" xfId="9" builtinId="39" customBuiltin="1"/>
    <cellStyle name="40% - Accent3 10" xfId="2620" xr:uid="{D03705F1-283D-4103-9DF2-44F8014E5DF1}"/>
    <cellStyle name="40% - Accent3 11" xfId="894" xr:uid="{BEB4EAE7-F034-4700-B2F3-ED68D2F135C6}"/>
    <cellStyle name="40% - Accent3 2" xfId="123" xr:uid="{00000000-0005-0000-0000-000049000000}"/>
    <cellStyle name="40% - Accent3 2 2" xfId="1035" xr:uid="{027332D9-2EB7-4DD1-A3D9-9987E80C940D}"/>
    <cellStyle name="40% - Accent3 2 3" xfId="1036" xr:uid="{2ECE416E-E605-4573-AD51-7D73BC711556}"/>
    <cellStyle name="40% - Accent3 2 3 2" xfId="1037" xr:uid="{B0B6B9A7-C04F-4799-81F9-AF0B839BADB6}"/>
    <cellStyle name="40% - Accent3 2 3 2 2" xfId="2002" xr:uid="{2919B334-82E2-4AE2-9830-9F8351F96F9A}"/>
    <cellStyle name="40% - Accent3 2 3 2 2 2" xfId="2840" xr:uid="{9D95E25C-60C7-418C-A09A-EA06F8F33610}"/>
    <cellStyle name="40% - Accent3 2 3 2 3" xfId="2344" xr:uid="{F8E39E6D-0DBF-45A4-AF43-CDBEE7638C0F}"/>
    <cellStyle name="40% - Accent3 2 3 3" xfId="1832" xr:uid="{55082156-81C0-4F26-A75D-1E29F3B5C755}"/>
    <cellStyle name="40% - Accent3 2 3 3 2" xfId="2670" xr:uid="{F2C5545B-687B-4D58-AD4F-EF8346D9470F}"/>
    <cellStyle name="40% - Accent3 2 3 4" xfId="2343" xr:uid="{3D0B2A48-1D5B-4EB2-A0F8-5D5941A31C71}"/>
    <cellStyle name="40% - Accent3 2 4" xfId="2225" xr:uid="{4E1B9DB2-724D-497A-ABA4-5ABF9DF46E1F}"/>
    <cellStyle name="40% - Accent3 2 5" xfId="1034" xr:uid="{80840938-49E6-4C94-90E7-5512EFF48B42}"/>
    <cellStyle name="40% - Accent3 3" xfId="157" xr:uid="{00000000-0005-0000-0000-00004A000000}"/>
    <cellStyle name="40% - Accent3 3 2" xfId="1039" xr:uid="{A4163C39-0254-4651-9A09-F4398787355F}"/>
    <cellStyle name="40% - Accent3 3 2 2" xfId="2003" xr:uid="{5618BC1E-15AF-469C-B516-57BCB349F213}"/>
    <cellStyle name="40% - Accent3 3 2 2 2" xfId="2841" xr:uid="{24D5AEF9-E009-4DC2-8D91-089A825C427B}"/>
    <cellStyle name="40% - Accent3 3 2 3" xfId="2346" xr:uid="{48C9B6CC-9987-4A3B-99B7-95E7FBB006DB}"/>
    <cellStyle name="40% - Accent3 3 3" xfId="1833" xr:uid="{BE366B6A-1996-41E1-B78B-72CB0D0BA5E7}"/>
    <cellStyle name="40% - Accent3 3 3 2" xfId="2671" xr:uid="{7415228F-059D-4799-AC19-08EDF39B9B03}"/>
    <cellStyle name="40% - Accent3 3 4" xfId="2345" xr:uid="{B7D69C59-D338-4C6F-8D7D-127038B27552}"/>
    <cellStyle name="40% - Accent3 3 5" xfId="1038" xr:uid="{12D06056-74D5-46A2-A626-D19A80418A6E}"/>
    <cellStyle name="40% - Accent3 4" xfId="203" xr:uid="{00000000-0005-0000-0000-00004B000000}"/>
    <cellStyle name="40% - Accent3 4 2" xfId="1041" xr:uid="{2683EA80-6F60-4C73-9741-C59E6197270F}"/>
    <cellStyle name="40% - Accent3 4 2 2" xfId="2001" xr:uid="{C0042232-4A98-458C-B5EC-9502EE225DB1}"/>
    <cellStyle name="40% - Accent3 4 2 2 2" xfId="2839" xr:uid="{771FC633-B27A-4B70-917B-16D0F70DCD0E}"/>
    <cellStyle name="40% - Accent3 4 2 3" xfId="2348" xr:uid="{0E927B08-B40B-4E3A-90BD-3749085F3694}"/>
    <cellStyle name="40% - Accent3 4 3" xfId="1831" xr:uid="{5F5418D4-8788-46D2-92F8-16A37417670A}"/>
    <cellStyle name="40% - Accent3 4 3 2" xfId="2669" xr:uid="{ED4CAA7C-14F0-4B84-B447-0541164181E4}"/>
    <cellStyle name="40% - Accent3 4 4" xfId="2347" xr:uid="{063EFA8E-DEDB-4B3E-B889-C26731A4688C}"/>
    <cellStyle name="40% - Accent3 4 5" xfId="1040" xr:uid="{F43464E9-CC0D-4003-93DE-6B26DEEB3C4C}"/>
    <cellStyle name="40% - Accent3 5" xfId="249" xr:uid="{00000000-0005-0000-0000-00004C000000}"/>
    <cellStyle name="40% - Accent3 5 2" xfId="1967" xr:uid="{5717DCE0-A95D-478B-80E6-CDBC54F62C66}"/>
    <cellStyle name="40% - Accent3 5 2 2" xfId="2805" xr:uid="{2D4CE687-B75B-48CA-8FF4-F33E7BAA443B}"/>
    <cellStyle name="40% - Accent3 5 3" xfId="2349" xr:uid="{3F121369-597C-4A67-AA71-41EEF23B1591}"/>
    <cellStyle name="40% - Accent3 5 4" xfId="1042" xr:uid="{30F462C0-1140-4C1D-8578-82CD0FB224D9}"/>
    <cellStyle name="40% - Accent3 6" xfId="298" xr:uid="{00000000-0005-0000-0000-00004D000000}"/>
    <cellStyle name="40% - Accent3 6 2" xfId="2635" xr:uid="{85BC891B-CA1C-44DE-AA8C-D00C12FB90A8}"/>
    <cellStyle name="40% - Accent3 6 3" xfId="1797" xr:uid="{900D2738-B04F-407A-9F79-151B4674F5DC}"/>
    <cellStyle name="40% - Accent3 7" xfId="362" xr:uid="{00000000-0005-0000-0000-00004E000000}"/>
    <cellStyle name="40% - Accent3 7 2" xfId="2974" xr:uid="{745B1B20-FEF6-4C5E-B17F-61AC42180B1A}"/>
    <cellStyle name="40% - Accent3 7 3" xfId="2136" xr:uid="{4677B899-388B-4AD1-98BB-6ABB7E834ACA}"/>
    <cellStyle name="40% - Accent3 8" xfId="433" xr:uid="{00000000-0005-0000-0000-00004F000000}"/>
    <cellStyle name="40% - Accent3 8 2" xfId="2165" xr:uid="{2B3A52B2-2B2F-4EBE-AF86-C04A005C7AC3}"/>
    <cellStyle name="40% - Accent3 9" xfId="537" xr:uid="{00000000-0005-0000-0000-000050000000}"/>
    <cellStyle name="40% - Accent3 9 2" xfId="2179" xr:uid="{73225AB0-2279-47EC-A712-98904FB9D3EF}"/>
    <cellStyle name="40% - Accent4" xfId="10" builtinId="43" customBuiltin="1"/>
    <cellStyle name="40% - Accent4 10" xfId="2622" xr:uid="{0E144FDE-7340-4A8F-BA04-96915B70C42A}"/>
    <cellStyle name="40% - Accent4 11" xfId="914" xr:uid="{44800666-2691-4C94-8A77-A6BFD5C031CE}"/>
    <cellStyle name="40% - Accent4 2" xfId="124" xr:uid="{00000000-0005-0000-0000-000052000000}"/>
    <cellStyle name="40% - Accent4 2 2" xfId="1044" xr:uid="{A0B0F8D9-488B-4370-8D3E-57AD03BECD33}"/>
    <cellStyle name="40% - Accent4 2 3" xfId="1045" xr:uid="{0539CD71-78BC-41FE-BB52-497B096ABEDA}"/>
    <cellStyle name="40% - Accent4 2 3 2" xfId="1046" xr:uid="{4C8D461D-706D-45E8-9905-E348C5ABAAEF}"/>
    <cellStyle name="40% - Accent4 2 3 2 2" xfId="2005" xr:uid="{10CF92E6-41F5-492F-AAD8-72CAFD31DB80}"/>
    <cellStyle name="40% - Accent4 2 3 2 2 2" xfId="2843" xr:uid="{17AF8F52-CCFC-42D5-AD05-D02B55E8BA90}"/>
    <cellStyle name="40% - Accent4 2 3 2 3" xfId="2351" xr:uid="{20B42E8B-45BF-4C32-93D4-D47AC122F1B6}"/>
    <cellStyle name="40% - Accent4 2 3 3" xfId="1835" xr:uid="{33BF445D-21AB-40A7-A8FE-277878DFD9D4}"/>
    <cellStyle name="40% - Accent4 2 3 3 2" xfId="2673" xr:uid="{9BD9C329-EC2A-4711-BFDB-91D5FA9DFCA6}"/>
    <cellStyle name="40% - Accent4 2 3 4" xfId="2350" xr:uid="{AB21A8CC-0921-440E-B973-E650883CC1A5}"/>
    <cellStyle name="40% - Accent4 2 4" xfId="2226" xr:uid="{6D20DC19-6A6C-407F-A2D1-513EC97EB6D6}"/>
    <cellStyle name="40% - Accent4 2 5" xfId="1043" xr:uid="{0ACFD449-F23E-4FE3-B0AB-FF4D6DA60800}"/>
    <cellStyle name="40% - Accent4 3" xfId="158" xr:uid="{00000000-0005-0000-0000-000053000000}"/>
    <cellStyle name="40% - Accent4 3 2" xfId="1048" xr:uid="{7233C134-A469-4246-BEBD-26A3E9C04C46}"/>
    <cellStyle name="40% - Accent4 3 2 2" xfId="2006" xr:uid="{AE15EBFF-7036-49C8-B2EA-23C1BC78C16D}"/>
    <cellStyle name="40% - Accent4 3 2 2 2" xfId="2844" xr:uid="{FF7B8F9B-2293-4512-9D6B-4C4ADA982AAA}"/>
    <cellStyle name="40% - Accent4 3 2 3" xfId="2353" xr:uid="{1C6B5577-30F2-40D3-8E64-0E872E02C582}"/>
    <cellStyle name="40% - Accent4 3 3" xfId="1836" xr:uid="{F761AF9A-854B-4358-9DFC-1DE5E15504EE}"/>
    <cellStyle name="40% - Accent4 3 3 2" xfId="2674" xr:uid="{ACFCFE2A-51F8-4F24-A300-C64969F78A3D}"/>
    <cellStyle name="40% - Accent4 3 4" xfId="2352" xr:uid="{13B731E0-8F58-4D7A-B48D-7068F8F65D09}"/>
    <cellStyle name="40% - Accent4 3 5" xfId="1047" xr:uid="{CFBCF4D9-47BA-4733-B24B-762F3DBA7406}"/>
    <cellStyle name="40% - Accent4 4" xfId="204" xr:uid="{00000000-0005-0000-0000-000054000000}"/>
    <cellStyle name="40% - Accent4 4 2" xfId="1050" xr:uid="{DE17A839-9135-4056-917B-EAB151047E7F}"/>
    <cellStyle name="40% - Accent4 4 2 2" xfId="2004" xr:uid="{A084BD64-9512-47B0-A37C-685B1B06F2A6}"/>
    <cellStyle name="40% - Accent4 4 2 2 2" xfId="2842" xr:uid="{8E884660-6ECB-47FF-BA97-08E49D7B643F}"/>
    <cellStyle name="40% - Accent4 4 2 3" xfId="2355" xr:uid="{BA3A3A70-DCAF-4905-9790-DFDA4C4BB1C8}"/>
    <cellStyle name="40% - Accent4 4 3" xfId="1834" xr:uid="{2FB7EF63-94F1-4365-AFA6-65FC2EA7D67A}"/>
    <cellStyle name="40% - Accent4 4 3 2" xfId="2672" xr:uid="{C127E980-437A-4299-BCDE-DD27759CF322}"/>
    <cellStyle name="40% - Accent4 4 4" xfId="2354" xr:uid="{082FCE4E-07D6-46D5-9DDA-EE48BC21EB7A}"/>
    <cellStyle name="40% - Accent4 4 5" xfId="1049" xr:uid="{5B05DD0E-D171-4716-8953-DEF3389EFDFB}"/>
    <cellStyle name="40% - Accent4 5" xfId="250" xr:uid="{00000000-0005-0000-0000-000055000000}"/>
    <cellStyle name="40% - Accent4 5 2" xfId="1968" xr:uid="{BD4237AB-1704-44EF-97FE-47480B509987}"/>
    <cellStyle name="40% - Accent4 5 2 2" xfId="2806" xr:uid="{14417774-31F1-42C2-8495-AFA881A73460}"/>
    <cellStyle name="40% - Accent4 5 3" xfId="2356" xr:uid="{3D97A6D3-BE80-46DC-ABA3-805650CA40B1}"/>
    <cellStyle name="40% - Accent4 5 4" xfId="1051" xr:uid="{7FED6131-7C86-4745-B80B-08B5E0095669}"/>
    <cellStyle name="40% - Accent4 6" xfId="299" xr:uid="{00000000-0005-0000-0000-000056000000}"/>
    <cellStyle name="40% - Accent4 6 2" xfId="2636" xr:uid="{5D8D53BD-BB9C-43CC-971F-19E983D06462}"/>
    <cellStyle name="40% - Accent4 6 3" xfId="1798" xr:uid="{05F174E9-B5C4-4ED8-80AB-6B711C1713E4}"/>
    <cellStyle name="40% - Accent4 7" xfId="363" xr:uid="{00000000-0005-0000-0000-000057000000}"/>
    <cellStyle name="40% - Accent4 7 2" xfId="2976" xr:uid="{40FFA76D-0188-4CAC-AA54-D03A58C9BD8D}"/>
    <cellStyle name="40% - Accent4 7 3" xfId="2138" xr:uid="{6E0875B5-5060-44A8-83FF-53F8EA965182}"/>
    <cellStyle name="40% - Accent4 8" xfId="434" xr:uid="{00000000-0005-0000-0000-000058000000}"/>
    <cellStyle name="40% - Accent4 8 2" xfId="2167" xr:uid="{C07DF2F1-D637-4040-88B1-44F9BF5A4813}"/>
    <cellStyle name="40% - Accent4 9" xfId="538" xr:uid="{00000000-0005-0000-0000-000059000000}"/>
    <cellStyle name="40% - Accent4 9 2" xfId="2181" xr:uid="{272F4A23-11DA-482D-B721-81F1FE611EE5}"/>
    <cellStyle name="40% - Accent5" xfId="11" builtinId="47" customBuiltin="1"/>
    <cellStyle name="40% - Accent5 10" xfId="2624" xr:uid="{BEA96B51-3F59-4ACC-959B-EFCE2376E587}"/>
    <cellStyle name="40% - Accent5 11" xfId="956" xr:uid="{F7B0C202-3EB2-4AAD-BCAF-EEF1A4C74832}"/>
    <cellStyle name="40% - Accent5 2" xfId="125" xr:uid="{00000000-0005-0000-0000-00005B000000}"/>
    <cellStyle name="40% - Accent5 2 2" xfId="1053" xr:uid="{F68A143B-4FD0-4EE1-99E3-59C7F7E532DC}"/>
    <cellStyle name="40% - Accent5 2 3" xfId="1054" xr:uid="{60FC2C4B-B656-4700-AEEB-EB77C3E61E5F}"/>
    <cellStyle name="40% - Accent5 2 3 2" xfId="1055" xr:uid="{EDA48642-5E87-4F6F-AEEB-0260E746E635}"/>
    <cellStyle name="40% - Accent5 2 3 2 2" xfId="2008" xr:uid="{092753AD-3BF4-466F-99D8-2513227C0328}"/>
    <cellStyle name="40% - Accent5 2 3 2 2 2" xfId="2846" xr:uid="{4E256D91-99DE-41A1-8B66-A80DBBA3EDD4}"/>
    <cellStyle name="40% - Accent5 2 3 2 3" xfId="2358" xr:uid="{54A7B384-C74A-4E57-BE1A-4061D975B71D}"/>
    <cellStyle name="40% - Accent5 2 3 3" xfId="1838" xr:uid="{FB789F49-DAA1-4471-A7F3-E3E51C96C97F}"/>
    <cellStyle name="40% - Accent5 2 3 3 2" xfId="2676" xr:uid="{C647C14E-1FDC-4FF2-ACFA-073B54DA9319}"/>
    <cellStyle name="40% - Accent5 2 3 4" xfId="2357" xr:uid="{777EEF74-297F-47F9-985C-E3D294AE7332}"/>
    <cellStyle name="40% - Accent5 2 4" xfId="2227" xr:uid="{A970BE78-FF47-498A-BC70-576076D8970D}"/>
    <cellStyle name="40% - Accent5 2 5" xfId="1052" xr:uid="{2AE2FF2D-53DE-4FA1-9131-5539E505D5EB}"/>
    <cellStyle name="40% - Accent5 3" xfId="159" xr:uid="{00000000-0005-0000-0000-00005C000000}"/>
    <cellStyle name="40% - Accent5 3 2" xfId="1057" xr:uid="{FF0B5EF2-35EB-459E-80D9-3F6A3358A4BD}"/>
    <cellStyle name="40% - Accent5 3 2 2" xfId="2009" xr:uid="{14636DA1-F6D7-4DDD-8A9F-BD2942B4E9C3}"/>
    <cellStyle name="40% - Accent5 3 2 2 2" xfId="2847" xr:uid="{4073D374-99C4-4462-BC7D-819077C5C83F}"/>
    <cellStyle name="40% - Accent5 3 2 3" xfId="2360" xr:uid="{6142FD7C-5281-4458-AE22-B29F1DAC8298}"/>
    <cellStyle name="40% - Accent5 3 3" xfId="1839" xr:uid="{64D0CD8D-6ACD-437A-A73B-3C52C1717C15}"/>
    <cellStyle name="40% - Accent5 3 3 2" xfId="2677" xr:uid="{7E1A2875-F160-4407-81A0-383408601322}"/>
    <cellStyle name="40% - Accent5 3 4" xfId="2359" xr:uid="{1560B020-90C1-44AB-BD98-6A4B0498711C}"/>
    <cellStyle name="40% - Accent5 3 5" xfId="1056" xr:uid="{9D8EABC5-349B-49FA-A42B-26EFBC12E179}"/>
    <cellStyle name="40% - Accent5 4" xfId="205" xr:uid="{00000000-0005-0000-0000-00005D000000}"/>
    <cellStyle name="40% - Accent5 4 2" xfId="1059" xr:uid="{BFFD4667-8B9F-47D9-8F72-FED5C06867EE}"/>
    <cellStyle name="40% - Accent5 4 2 2" xfId="2007" xr:uid="{75EE0A65-17DC-465D-8B1C-58AB94C4A784}"/>
    <cellStyle name="40% - Accent5 4 2 2 2" xfId="2845" xr:uid="{89E353C9-DA67-4A85-8EBE-04E1AE939A7C}"/>
    <cellStyle name="40% - Accent5 4 2 3" xfId="2362" xr:uid="{68C43C60-7370-40F5-81B3-6E417044ED6F}"/>
    <cellStyle name="40% - Accent5 4 3" xfId="1837" xr:uid="{A78D0F56-CFE0-43B9-BA42-C23FA85EB63C}"/>
    <cellStyle name="40% - Accent5 4 3 2" xfId="2675" xr:uid="{55A9E2BD-7ADC-43D7-904F-FF2821E26A53}"/>
    <cellStyle name="40% - Accent5 4 4" xfId="2361" xr:uid="{8677EBAD-EAA3-4494-8AFC-03E0F2E7B1E0}"/>
    <cellStyle name="40% - Accent5 4 5" xfId="1058" xr:uid="{8430CDCE-E50B-483D-A8C7-7C7A4F032391}"/>
    <cellStyle name="40% - Accent5 5" xfId="251" xr:uid="{00000000-0005-0000-0000-00005E000000}"/>
    <cellStyle name="40% - Accent5 5 2" xfId="1969" xr:uid="{1F93E9D8-DD19-4BA6-BF40-41F52D9B54B4}"/>
    <cellStyle name="40% - Accent5 5 2 2" xfId="2807" xr:uid="{62CC4DAC-8412-4A8E-AC09-D2D593B3EAB2}"/>
    <cellStyle name="40% - Accent5 5 3" xfId="2363" xr:uid="{C4D318D2-1E9A-402C-88ED-94D42B4AB7B6}"/>
    <cellStyle name="40% - Accent5 5 4" xfId="1060" xr:uid="{348B5C0E-3CCA-496E-8DA9-B08D08888DD9}"/>
    <cellStyle name="40% - Accent5 6" xfId="300" xr:uid="{00000000-0005-0000-0000-00005F000000}"/>
    <cellStyle name="40% - Accent5 6 2" xfId="2637" xr:uid="{7C03BFD5-7850-43FE-A022-49BE0D2012BC}"/>
    <cellStyle name="40% - Accent5 6 3" xfId="1799" xr:uid="{F0680BF5-692E-4BC7-B24A-8A365AB75533}"/>
    <cellStyle name="40% - Accent5 7" xfId="364" xr:uid="{00000000-0005-0000-0000-000060000000}"/>
    <cellStyle name="40% - Accent5 7 2" xfId="2978" xr:uid="{B82E5AC5-3CA2-4207-AB30-C4E3375643A7}"/>
    <cellStyle name="40% - Accent5 7 3" xfId="2140" xr:uid="{36E357C2-0B9D-4C09-8A6C-85794ED33B2C}"/>
    <cellStyle name="40% - Accent5 8" xfId="435" xr:uid="{00000000-0005-0000-0000-000061000000}"/>
    <cellStyle name="40% - Accent5 8 2" xfId="2169" xr:uid="{2A822548-C23F-4116-88BB-FC8458188FB6}"/>
    <cellStyle name="40% - Accent5 9" xfId="539" xr:uid="{00000000-0005-0000-0000-000062000000}"/>
    <cellStyle name="40% - Accent5 9 2" xfId="2183" xr:uid="{645737B1-ACB4-4801-9970-DE5D4002227B}"/>
    <cellStyle name="40% - Accent6" xfId="12" builtinId="51" customBuiltin="1"/>
    <cellStyle name="40% - Accent6 10" xfId="2626" xr:uid="{C21A98BD-1103-471F-9430-20648CE90C44}"/>
    <cellStyle name="40% - Accent6 11" xfId="980" xr:uid="{D230E761-E665-4AB1-860D-06F98F9B84BA}"/>
    <cellStyle name="40% - Accent6 2" xfId="126" xr:uid="{00000000-0005-0000-0000-000064000000}"/>
    <cellStyle name="40% - Accent6 2 2" xfId="1062" xr:uid="{B86146FC-54B9-4A87-9241-9F84ECBCAD0F}"/>
    <cellStyle name="40% - Accent6 2 3" xfId="1063" xr:uid="{FF05A4C6-E2A6-4AFD-A716-7EDE0495435D}"/>
    <cellStyle name="40% - Accent6 2 3 2" xfId="1064" xr:uid="{93F0226F-1468-4673-90A2-66D39A984B23}"/>
    <cellStyle name="40% - Accent6 2 3 2 2" xfId="2011" xr:uid="{04FEE035-D0C6-43DE-AD4D-7C291A4BC41F}"/>
    <cellStyle name="40% - Accent6 2 3 2 2 2" xfId="2849" xr:uid="{C63635AB-20AB-4005-BF68-23745F1F8055}"/>
    <cellStyle name="40% - Accent6 2 3 2 3" xfId="2365" xr:uid="{5A72E1EC-A89C-47A7-B5AB-21CBDE13B2F3}"/>
    <cellStyle name="40% - Accent6 2 3 3" xfId="1841" xr:uid="{0CECA3A3-4CA0-4015-8841-3394A6D58BC0}"/>
    <cellStyle name="40% - Accent6 2 3 3 2" xfId="2679" xr:uid="{99C30B72-3379-41CD-B03F-1298368562A1}"/>
    <cellStyle name="40% - Accent6 2 3 4" xfId="2364" xr:uid="{A03762CE-09A9-453B-AD40-F25C46C6258C}"/>
    <cellStyle name="40% - Accent6 2 4" xfId="2228" xr:uid="{65A1543B-59F0-4039-A8FD-07E07E86BB34}"/>
    <cellStyle name="40% - Accent6 2 5" xfId="1061" xr:uid="{0C76B08B-C604-4D2E-B4AC-BD6FA052E290}"/>
    <cellStyle name="40% - Accent6 3" xfId="160" xr:uid="{00000000-0005-0000-0000-000065000000}"/>
    <cellStyle name="40% - Accent6 3 2" xfId="1066" xr:uid="{9E85FC9F-D8B3-44CB-9B8F-C593328F3F25}"/>
    <cellStyle name="40% - Accent6 3 2 2" xfId="2012" xr:uid="{DDF3C799-273C-4E67-B3D7-62459976B65B}"/>
    <cellStyle name="40% - Accent6 3 2 2 2" xfId="2850" xr:uid="{C8C73791-85DD-4AC1-AE19-3C8BDAA94870}"/>
    <cellStyle name="40% - Accent6 3 2 3" xfId="2367" xr:uid="{43768B4C-6BBC-4F12-AFCD-0D5825128366}"/>
    <cellStyle name="40% - Accent6 3 3" xfId="1842" xr:uid="{F92505F3-4309-4D1B-A5B9-936236423FAB}"/>
    <cellStyle name="40% - Accent6 3 3 2" xfId="2680" xr:uid="{4F2BD282-906B-444E-A3DF-E0BBA83A93D9}"/>
    <cellStyle name="40% - Accent6 3 4" xfId="2366" xr:uid="{FC24BB0B-C46F-489F-B9FF-BBDC9976A213}"/>
    <cellStyle name="40% - Accent6 3 5" xfId="1065" xr:uid="{72C004D4-F533-453E-92A8-064553DEEF7D}"/>
    <cellStyle name="40% - Accent6 4" xfId="206" xr:uid="{00000000-0005-0000-0000-000066000000}"/>
    <cellStyle name="40% - Accent6 4 2" xfId="1068" xr:uid="{DAE9BA26-DF31-4A0C-9DE4-76DD9FE5CBF1}"/>
    <cellStyle name="40% - Accent6 4 2 2" xfId="2010" xr:uid="{AEF4B1F5-379D-4017-BF4C-7EE557DCE7B8}"/>
    <cellStyle name="40% - Accent6 4 2 2 2" xfId="2848" xr:uid="{52D5DA1F-1104-48A4-B3CB-196D46C54A3E}"/>
    <cellStyle name="40% - Accent6 4 2 3" xfId="2369" xr:uid="{17B98110-C695-4C47-8B88-F6C94E285DCA}"/>
    <cellStyle name="40% - Accent6 4 3" xfId="1840" xr:uid="{C065FD5D-40AD-43F0-A448-10EC331687CB}"/>
    <cellStyle name="40% - Accent6 4 3 2" xfId="2678" xr:uid="{40921068-5F1E-416F-9B84-2BAFE9851948}"/>
    <cellStyle name="40% - Accent6 4 4" xfId="2368" xr:uid="{F482FFD0-88C6-4E87-8165-D1C894D588B8}"/>
    <cellStyle name="40% - Accent6 4 5" xfId="1067" xr:uid="{6A5E99AF-4B74-46B7-81A9-1CE55B37A1BA}"/>
    <cellStyle name="40% - Accent6 5" xfId="252" xr:uid="{00000000-0005-0000-0000-000067000000}"/>
    <cellStyle name="40% - Accent6 5 2" xfId="1970" xr:uid="{6DB890FB-0E61-4307-B183-2B16FEDF29DA}"/>
    <cellStyle name="40% - Accent6 5 2 2" xfId="2808" xr:uid="{FD7C7E97-8200-41B8-83ED-88790EDC0B32}"/>
    <cellStyle name="40% - Accent6 5 3" xfId="2370" xr:uid="{513DC4F4-8205-4022-B47F-78A8636EDDEF}"/>
    <cellStyle name="40% - Accent6 5 4" xfId="1069" xr:uid="{74B0F5AD-BFB2-4197-A6B4-BFE473A85D0B}"/>
    <cellStyle name="40% - Accent6 6" xfId="301" xr:uid="{00000000-0005-0000-0000-000068000000}"/>
    <cellStyle name="40% - Accent6 6 2" xfId="2638" xr:uid="{05CC4D4F-565F-4911-A520-1097A66A7B0F}"/>
    <cellStyle name="40% - Accent6 6 3" xfId="1800" xr:uid="{9F77B020-F03A-494A-BF77-5BA0AB3FBEF1}"/>
    <cellStyle name="40% - Accent6 7" xfId="365" xr:uid="{00000000-0005-0000-0000-000069000000}"/>
    <cellStyle name="40% - Accent6 7 2" xfId="2980" xr:uid="{CEFBAA50-B1DC-4787-AADA-BA301D75093C}"/>
    <cellStyle name="40% - Accent6 7 3" xfId="2142" xr:uid="{C17B9AC1-103A-4DE1-A527-F4B906BDF9FB}"/>
    <cellStyle name="40% - Accent6 8" xfId="436" xr:uid="{00000000-0005-0000-0000-00006A000000}"/>
    <cellStyle name="40% - Accent6 8 2" xfId="2171" xr:uid="{14E1C59F-A3F4-4EEB-9C7A-BCC606A57B70}"/>
    <cellStyle name="40% - Accent6 9" xfId="540" xr:uid="{00000000-0005-0000-0000-00006B000000}"/>
    <cellStyle name="40% - Accent6 9 2" xfId="2185" xr:uid="{5E2EF2E5-F833-4108-8384-8DCC5EEB89F6}"/>
    <cellStyle name="60% - Accent1" xfId="13" builtinId="32" customBuiltin="1"/>
    <cellStyle name="60% - Accent1 2" xfId="161" xr:uid="{00000000-0005-0000-0000-00006D000000}"/>
    <cellStyle name="60% - Accent1 2 2" xfId="1070" xr:uid="{F619F85F-EF0B-4773-9321-837336812262}"/>
    <cellStyle name="60% - Accent1 3" xfId="207" xr:uid="{00000000-0005-0000-0000-00006E000000}"/>
    <cellStyle name="60% - Accent1 3 2" xfId="1783" xr:uid="{F1A5227D-A071-47A6-834F-187B9306FD5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2 2" xfId="1071" xr:uid="{72AFCAA7-7264-4780-86D2-6FDDD127CA49}"/>
    <cellStyle name="60% - Accent2 3" xfId="208" xr:uid="{00000000-0005-0000-0000-000076000000}"/>
    <cellStyle name="60% - Accent2 3 2" xfId="1784" xr:uid="{9DCE2D12-9B17-4979-A261-A6DAB5D33E53}"/>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2 2" xfId="1072" xr:uid="{71C7DE70-2CA6-40B0-9021-46D5B544D7F1}"/>
    <cellStyle name="60% - Accent3 3" xfId="209" xr:uid="{00000000-0005-0000-0000-00007E000000}"/>
    <cellStyle name="60% - Accent3 3 2" xfId="1785" xr:uid="{96C7BFFF-0AAF-4470-8EFD-F78D78D47B4F}"/>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2 2" xfId="1073" xr:uid="{92624BDC-9309-4C34-B9B1-C834C49C682B}"/>
    <cellStyle name="60% - Accent4 3" xfId="210" xr:uid="{00000000-0005-0000-0000-000086000000}"/>
    <cellStyle name="60% - Accent4 3 2" xfId="1786" xr:uid="{BEECFAC8-A866-4ABE-B1DE-083EDDC2D164}"/>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2 2" xfId="1074" xr:uid="{79915B16-F3F0-402C-8D8B-332BA6107D95}"/>
    <cellStyle name="60% - Accent5 3" xfId="211" xr:uid="{00000000-0005-0000-0000-00008E000000}"/>
    <cellStyle name="60% - Accent5 3 2" xfId="1787" xr:uid="{1B435A57-E048-4E1B-822A-75C84CB1A8EF}"/>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2 2" xfId="1075" xr:uid="{03AB1D74-0877-4774-94EE-BF003912416F}"/>
    <cellStyle name="60% - Accent6 3" xfId="212" xr:uid="{00000000-0005-0000-0000-000096000000}"/>
    <cellStyle name="60% - Accent6 3 2" xfId="1788" xr:uid="{C5E35DEF-8A0D-4063-9F53-6EBDC7B83EAC}"/>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20% 2" xfId="895" xr:uid="{2341EBAC-9038-489B-89E0-D771DE82EA42}"/>
    <cellStyle name="Accent1 - 20% 2 2" xfId="1077" xr:uid="{414B7D17-031D-4725-BDCB-068DB20E3195}"/>
    <cellStyle name="Accent1 - 20% 3" xfId="1076" xr:uid="{6D182D04-6AC5-4395-84D6-5BBA711DB76C}"/>
    <cellStyle name="Accent1 - 40%" xfId="21" xr:uid="{00000000-0005-0000-0000-00009E000000}"/>
    <cellStyle name="Accent1 - 40% 2" xfId="896" xr:uid="{2BF20286-8C14-4DD0-BC48-F86BC03F1EA6}"/>
    <cellStyle name="Accent1 - 40% 2 2" xfId="1079" xr:uid="{5703260F-9F55-472D-B852-0745440CAE20}"/>
    <cellStyle name="Accent1 - 40% 3" xfId="1078" xr:uid="{37310F85-B540-47B0-A930-846AA20AAEE6}"/>
    <cellStyle name="Accent1 - 60%" xfId="22" xr:uid="{00000000-0005-0000-0000-00009F000000}"/>
    <cellStyle name="Accent1 - 60% 2" xfId="897" xr:uid="{408C100A-9179-46C4-8CFF-78775259CF40}"/>
    <cellStyle name="Accent1 - 60% 3" xfId="1080" xr:uid="{BD64EBD7-8CF6-4504-880D-533D1EB14A1C}"/>
    <cellStyle name="Accent1 10" xfId="1213" xr:uid="{1C990109-106A-4596-B574-DCB65713A036}"/>
    <cellStyle name="Accent1 2" xfId="167" xr:uid="{00000000-0005-0000-0000-0000A0000000}"/>
    <cellStyle name="Accent1 2 2" xfId="1082" xr:uid="{A2AEDD95-125F-4D35-8FEF-1CE9A7E7967C}"/>
    <cellStyle name="Accent1 2 3" xfId="1081" xr:uid="{D5BA26EA-C2B8-488C-A3D5-C7B9F5B8FBAE}"/>
    <cellStyle name="Accent1 3" xfId="213" xr:uid="{00000000-0005-0000-0000-0000A1000000}"/>
    <cellStyle name="Accent1 3 2" xfId="1083" xr:uid="{39773C2A-FEDF-4019-A333-EEE368665DA0}"/>
    <cellStyle name="Accent1 4" xfId="259" xr:uid="{00000000-0005-0000-0000-0000A2000000}"/>
    <cellStyle name="Accent1 4 2" xfId="1084" xr:uid="{F325E876-4B8E-453E-A8D7-B4D6CE075DB8}"/>
    <cellStyle name="Accent1 5" xfId="308" xr:uid="{00000000-0005-0000-0000-0000A3000000}"/>
    <cellStyle name="Accent1 5 2" xfId="1085" xr:uid="{B0F8ABE1-00B6-4D40-93F9-613FDA5B7CEC}"/>
    <cellStyle name="Accent1 6" xfId="372" xr:uid="{00000000-0005-0000-0000-0000A4000000}"/>
    <cellStyle name="Accent1 6 2" xfId="1086" xr:uid="{3A40E004-7839-4117-930D-994452E88160}"/>
    <cellStyle name="Accent1 7" xfId="443" xr:uid="{00000000-0005-0000-0000-0000A5000000}"/>
    <cellStyle name="Accent1 8" xfId="547" xr:uid="{00000000-0005-0000-0000-0000A6000000}"/>
    <cellStyle name="Accent1 9" xfId="951" xr:uid="{6347ABA3-020E-427A-ACD0-91D282C3A9A0}"/>
    <cellStyle name="Accent2" xfId="23" builtinId="33" customBuiltin="1"/>
    <cellStyle name="Accent2 - 20%" xfId="24" xr:uid="{00000000-0005-0000-0000-0000A8000000}"/>
    <cellStyle name="Accent2 - 20% 2" xfId="898" xr:uid="{CE2FEAEC-91C4-47A9-B758-BE9651C717BF}"/>
    <cellStyle name="Accent2 - 20% 2 2" xfId="1088" xr:uid="{F68C5F47-8087-4EF5-A86D-EF36AF207E58}"/>
    <cellStyle name="Accent2 - 20% 3" xfId="1087" xr:uid="{740E2974-99A3-4C6A-9A3C-9D35A45C4D44}"/>
    <cellStyle name="Accent2 - 40%" xfId="25" xr:uid="{00000000-0005-0000-0000-0000A9000000}"/>
    <cellStyle name="Accent2 - 40% 2" xfId="899" xr:uid="{C8AB0773-203C-4C6E-B565-01F33238BC7F}"/>
    <cellStyle name="Accent2 - 40% 2 2" xfId="1090" xr:uid="{B23C6FBB-CEEF-4E12-82D4-A41405795F2D}"/>
    <cellStyle name="Accent2 - 40% 3" xfId="1089" xr:uid="{36FB6292-0688-4100-A52D-BB0036457F47}"/>
    <cellStyle name="Accent2 - 60%" xfId="26" xr:uid="{00000000-0005-0000-0000-0000AA000000}"/>
    <cellStyle name="Accent2 - 60% 2" xfId="900" xr:uid="{AF53FF1C-518F-4939-AF19-B56F4C363B7D}"/>
    <cellStyle name="Accent2 - 60% 3" xfId="1091" xr:uid="{3EE8043A-A8D8-4095-A13B-E2F8DCAF4F83}"/>
    <cellStyle name="Accent2 10" xfId="931" xr:uid="{B71FC80D-923E-42FE-B25A-620E92B92CAA}"/>
    <cellStyle name="Accent2 2" xfId="168" xr:uid="{00000000-0005-0000-0000-0000AB000000}"/>
    <cellStyle name="Accent2 2 2" xfId="1093" xr:uid="{E2AFFB22-8D6D-4174-B386-E06D33B4B0D0}"/>
    <cellStyle name="Accent2 2 3" xfId="1092" xr:uid="{DEA24C2F-BD40-4FBE-A814-9D5A35169FA2}"/>
    <cellStyle name="Accent2 3" xfId="214" xr:uid="{00000000-0005-0000-0000-0000AC000000}"/>
    <cellStyle name="Accent2 3 2" xfId="1094" xr:uid="{91095101-B597-45A2-AAF7-4E16DFA94DC2}"/>
    <cellStyle name="Accent2 4" xfId="260" xr:uid="{00000000-0005-0000-0000-0000AD000000}"/>
    <cellStyle name="Accent2 4 2" xfId="1095" xr:uid="{B6825291-8684-430A-87A0-B6892FDCB861}"/>
    <cellStyle name="Accent2 5" xfId="309" xr:uid="{00000000-0005-0000-0000-0000AE000000}"/>
    <cellStyle name="Accent2 5 2" xfId="1096" xr:uid="{2BC4EB0C-C3D5-49F4-9B6D-0621473FBAC3}"/>
    <cellStyle name="Accent2 6" xfId="373" xr:uid="{00000000-0005-0000-0000-0000AF000000}"/>
    <cellStyle name="Accent2 6 2" xfId="1097" xr:uid="{E79C3EF2-7899-45CB-8E55-2409DE3D6262}"/>
    <cellStyle name="Accent2 7" xfId="444" xr:uid="{00000000-0005-0000-0000-0000B0000000}"/>
    <cellStyle name="Accent2 8" xfId="548" xr:uid="{00000000-0005-0000-0000-0000B1000000}"/>
    <cellStyle name="Accent2 9" xfId="950" xr:uid="{BC8A2DEE-4CB2-4376-80A9-E5B9DE57E410}"/>
    <cellStyle name="Accent3" xfId="27" builtinId="37" customBuiltin="1"/>
    <cellStyle name="Accent3 - 20%" xfId="28" xr:uid="{00000000-0005-0000-0000-0000B3000000}"/>
    <cellStyle name="Accent3 - 20% 2" xfId="901" xr:uid="{799D8D2C-063B-414A-9931-887EFCFC4E67}"/>
    <cellStyle name="Accent3 - 20% 2 2" xfId="1099" xr:uid="{B7CB49EF-AB66-4FED-8A0F-0665B8C333E2}"/>
    <cellStyle name="Accent3 - 20% 3" xfId="1098" xr:uid="{BEDE6608-4E97-48F3-A85A-04882925D571}"/>
    <cellStyle name="Accent3 - 40%" xfId="29" xr:uid="{00000000-0005-0000-0000-0000B4000000}"/>
    <cellStyle name="Accent3 - 40% 2" xfId="902" xr:uid="{9EE4BE1D-CF1C-4742-8B41-85BFD5FD0E44}"/>
    <cellStyle name="Accent3 - 40% 2 2" xfId="1101" xr:uid="{637AE64C-46E6-4E54-A754-5BCB4710A002}"/>
    <cellStyle name="Accent3 - 40% 3" xfId="1100" xr:uid="{1191125C-292B-4EAC-9AC9-5CDD313F9E61}"/>
    <cellStyle name="Accent3 - 60%" xfId="30" xr:uid="{00000000-0005-0000-0000-0000B5000000}"/>
    <cellStyle name="Accent3 - 60% 2" xfId="903" xr:uid="{D0DE66A8-CA6C-4224-8DB9-E474B7B1280B}"/>
    <cellStyle name="Accent3 - 60% 3" xfId="1102" xr:uid="{33A92544-35BE-42FD-8800-0B328CCE314B}"/>
    <cellStyle name="Accent3 10" xfId="1122" xr:uid="{062B3298-900C-4715-8273-EB8D67633230}"/>
    <cellStyle name="Accent3 2" xfId="169" xr:uid="{00000000-0005-0000-0000-0000B6000000}"/>
    <cellStyle name="Accent3 2 2" xfId="1104" xr:uid="{AD0EAA13-596C-48C8-B2B0-2BCCAB62471A}"/>
    <cellStyle name="Accent3 2 3" xfId="1103" xr:uid="{7BE6615A-2710-42B7-8924-11B35425E74D}"/>
    <cellStyle name="Accent3 3" xfId="215" xr:uid="{00000000-0005-0000-0000-0000B7000000}"/>
    <cellStyle name="Accent3 3 2" xfId="1105" xr:uid="{31C22731-24A1-4C30-86D2-212C22845DA9}"/>
    <cellStyle name="Accent3 4" xfId="261" xr:uid="{00000000-0005-0000-0000-0000B8000000}"/>
    <cellStyle name="Accent3 4 2" xfId="1106" xr:uid="{117C03F0-794F-4772-BC2D-AAD9A70B091E}"/>
    <cellStyle name="Accent3 5" xfId="310" xr:uid="{00000000-0005-0000-0000-0000B9000000}"/>
    <cellStyle name="Accent3 5 2" xfId="1107" xr:uid="{C67BA2AB-1CE0-4AE5-A4A8-F8513869DF9F}"/>
    <cellStyle name="Accent3 6" xfId="374" xr:uid="{00000000-0005-0000-0000-0000BA000000}"/>
    <cellStyle name="Accent3 6 2" xfId="1108" xr:uid="{4517FCAE-1CEA-4BDD-A2F2-D08942B3B088}"/>
    <cellStyle name="Accent3 7" xfId="445" xr:uid="{00000000-0005-0000-0000-0000BB000000}"/>
    <cellStyle name="Accent3 8" xfId="549" xr:uid="{00000000-0005-0000-0000-0000BC000000}"/>
    <cellStyle name="Accent3 9" xfId="953" xr:uid="{B22748A5-3A25-43AC-B351-99C87BEC613D}"/>
    <cellStyle name="Accent4" xfId="31" builtinId="41" customBuiltin="1"/>
    <cellStyle name="Accent4 - 20%" xfId="32" xr:uid="{00000000-0005-0000-0000-0000BE000000}"/>
    <cellStyle name="Accent4 - 20% 2" xfId="904" xr:uid="{2A244947-8719-466C-882F-76D767C039CB}"/>
    <cellStyle name="Accent4 - 20% 2 2" xfId="1110" xr:uid="{3E9F496F-5B39-4E62-9083-99C9008F1185}"/>
    <cellStyle name="Accent4 - 20% 3" xfId="1109" xr:uid="{219BD5D1-FA2D-40CD-B912-1C479533EAA8}"/>
    <cellStyle name="Accent4 - 40%" xfId="33" xr:uid="{00000000-0005-0000-0000-0000BF000000}"/>
    <cellStyle name="Accent4 - 40% 2" xfId="905" xr:uid="{AFDFCFCB-B00A-4EF8-A068-4DB2E94E6F65}"/>
    <cellStyle name="Accent4 - 40% 2 2" xfId="1112" xr:uid="{05CE971B-A2FB-4C38-B08B-32BBB09DFA33}"/>
    <cellStyle name="Accent4 - 40% 3" xfId="1111" xr:uid="{0D0C1A3F-A9AB-47C1-971A-0DFAED12DEEC}"/>
    <cellStyle name="Accent4 - 60%" xfId="34" xr:uid="{00000000-0005-0000-0000-0000C0000000}"/>
    <cellStyle name="Accent4 - 60% 2" xfId="906" xr:uid="{D5544E1B-0053-4E69-AFF5-74AC05D47F77}"/>
    <cellStyle name="Accent4 - 60% 3" xfId="1113" xr:uid="{0D4BC98E-799C-4B75-BBC6-02DCBD9BF55A}"/>
    <cellStyle name="Accent4 10" xfId="3311" xr:uid="{F46DF3C4-5610-4E61-AADA-B24876832B7A}"/>
    <cellStyle name="Accent4 2" xfId="170" xr:uid="{00000000-0005-0000-0000-0000C1000000}"/>
    <cellStyle name="Accent4 2 2" xfId="1115" xr:uid="{569278D7-7112-4B2E-BF1C-45E6D3F2735C}"/>
    <cellStyle name="Accent4 2 3" xfId="1114" xr:uid="{310310A8-778A-4026-8B1A-CB89A40C9F6C}"/>
    <cellStyle name="Accent4 3" xfId="216" xr:uid="{00000000-0005-0000-0000-0000C2000000}"/>
    <cellStyle name="Accent4 3 2" xfId="1116" xr:uid="{9AF0226D-D497-45B5-850A-BE9C180674DB}"/>
    <cellStyle name="Accent4 4" xfId="262" xr:uid="{00000000-0005-0000-0000-0000C3000000}"/>
    <cellStyle name="Accent4 4 2" xfId="1117" xr:uid="{D9496B3F-F057-431F-AEE1-0E4A33B46FAD}"/>
    <cellStyle name="Accent4 5" xfId="311" xr:uid="{00000000-0005-0000-0000-0000C4000000}"/>
    <cellStyle name="Accent4 5 2" xfId="1118" xr:uid="{4BD48876-9CB3-4458-9052-1C3ACB358A5F}"/>
    <cellStyle name="Accent4 6" xfId="375" xr:uid="{00000000-0005-0000-0000-0000C5000000}"/>
    <cellStyle name="Accent4 6 2" xfId="1119" xr:uid="{CEE9625D-A294-4910-81B6-B564BBDE42AC}"/>
    <cellStyle name="Accent4 7" xfId="446" xr:uid="{00000000-0005-0000-0000-0000C6000000}"/>
    <cellStyle name="Accent4 8" xfId="550" xr:uid="{00000000-0005-0000-0000-0000C7000000}"/>
    <cellStyle name="Accent4 9" xfId="916" xr:uid="{1E49948A-8419-4CDD-A029-BF6BCAB8415F}"/>
    <cellStyle name="Accent5" xfId="35" builtinId="45" customBuiltin="1"/>
    <cellStyle name="Accent5 - 20%" xfId="36" xr:uid="{00000000-0005-0000-0000-0000C9000000}"/>
    <cellStyle name="Accent5 - 20% 2" xfId="907" xr:uid="{89E935E9-9950-44BE-8448-0BB5624B551C}"/>
    <cellStyle name="Accent5 - 20% 2 2" xfId="1121" xr:uid="{986DEAA9-7DBF-4AD8-8A23-4567D6191E7F}"/>
    <cellStyle name="Accent5 - 20% 3" xfId="1120" xr:uid="{D94450C6-6787-4B9C-99B4-554826CF9990}"/>
    <cellStyle name="Accent5 - 40%" xfId="37" xr:uid="{00000000-0005-0000-0000-0000CA000000}"/>
    <cellStyle name="Accent5 - 40% 2" xfId="908" xr:uid="{8B81908A-60A3-4F36-BAE6-ECDF676E0561}"/>
    <cellStyle name="Accent5 - 60%" xfId="38" xr:uid="{00000000-0005-0000-0000-0000CB000000}"/>
    <cellStyle name="Accent5 - 60% 2" xfId="909" xr:uid="{BB129ECB-848D-4823-AB4C-1E2B0321DA1D}"/>
    <cellStyle name="Accent5 - 60% 3" xfId="1123" xr:uid="{5F4A6472-2E59-47F0-A928-C7A58380DDD5}"/>
    <cellStyle name="Accent5 10" xfId="3312" xr:uid="{F883AEA5-15AC-45E8-9072-1A76639067DF}"/>
    <cellStyle name="Accent5 2" xfId="171" xr:uid="{00000000-0005-0000-0000-0000CC000000}"/>
    <cellStyle name="Accent5 2 2" xfId="1125" xr:uid="{C3F6D20C-3BCD-4395-9E2D-BBB30836745E}"/>
    <cellStyle name="Accent5 2 3" xfId="1124" xr:uid="{DA6573BB-58A8-431B-ABA5-20DA17E05D8A}"/>
    <cellStyle name="Accent5 3" xfId="217" xr:uid="{00000000-0005-0000-0000-0000CD000000}"/>
    <cellStyle name="Accent5 3 2" xfId="1126" xr:uid="{63A1CBF7-EFF7-4700-935D-CA9EED1D58E1}"/>
    <cellStyle name="Accent5 4" xfId="263" xr:uid="{00000000-0005-0000-0000-0000CE000000}"/>
    <cellStyle name="Accent5 4 2" xfId="1127" xr:uid="{6CF94C34-7D46-4F8E-A1CE-C74E0AE3E331}"/>
    <cellStyle name="Accent5 5" xfId="312" xr:uid="{00000000-0005-0000-0000-0000CF000000}"/>
    <cellStyle name="Accent5 5 2" xfId="1128" xr:uid="{BF38DBF9-72C2-4737-972D-F53EF5BEAAAC}"/>
    <cellStyle name="Accent5 6" xfId="376" xr:uid="{00000000-0005-0000-0000-0000D0000000}"/>
    <cellStyle name="Accent5 6 2" xfId="1129" xr:uid="{7EDB78D8-448B-4B55-8FC4-F278B54F561B}"/>
    <cellStyle name="Accent5 7" xfId="447" xr:uid="{00000000-0005-0000-0000-0000D1000000}"/>
    <cellStyle name="Accent5 8" xfId="551" xr:uid="{00000000-0005-0000-0000-0000D2000000}"/>
    <cellStyle name="Accent5 9" xfId="913" xr:uid="{AF81FAD9-2403-4A11-AE4B-921643EBA684}"/>
    <cellStyle name="Accent6" xfId="39" builtinId="49" customBuiltin="1"/>
    <cellStyle name="Accent6 - 20%" xfId="40" xr:uid="{00000000-0005-0000-0000-0000D4000000}"/>
    <cellStyle name="Accent6 - 20% 2" xfId="910" xr:uid="{C54B27D8-100A-4EEC-83B0-62C23B5A7799}"/>
    <cellStyle name="Accent6 - 40%" xfId="41" xr:uid="{00000000-0005-0000-0000-0000D5000000}"/>
    <cellStyle name="Accent6 - 40% 2" xfId="911" xr:uid="{96A5857A-2028-47BB-AC92-FA568BFD5666}"/>
    <cellStyle name="Accent6 - 40% 2 2" xfId="1131" xr:uid="{C8A2569D-AA9B-4492-BFF6-38CF712B4884}"/>
    <cellStyle name="Accent6 - 40% 3" xfId="1130" xr:uid="{AD139F09-9DD1-4E0C-974D-F21ACFCC3369}"/>
    <cellStyle name="Accent6 - 60%" xfId="42" xr:uid="{00000000-0005-0000-0000-0000D6000000}"/>
    <cellStyle name="Accent6 - 60% 2" xfId="912" xr:uid="{1C6C4C6A-45F8-403C-BCA4-A7F3FB2FE4F9}"/>
    <cellStyle name="Accent6 - 60% 3" xfId="1132" xr:uid="{A0483F0A-D5D9-4BDC-8EF2-E9E671226253}"/>
    <cellStyle name="Accent6 10" xfId="3313" xr:uid="{5194ABC5-93A1-4C48-AE07-3D7F164B9ED5}"/>
    <cellStyle name="Accent6 2" xfId="172" xr:uid="{00000000-0005-0000-0000-0000D7000000}"/>
    <cellStyle name="Accent6 2 2" xfId="1134" xr:uid="{2A48EB7B-8F04-4D09-B815-DC461C6621AD}"/>
    <cellStyle name="Accent6 2 3" xfId="1133" xr:uid="{82050C57-1704-4782-8CFF-BA7B80AE3907}"/>
    <cellStyle name="Accent6 3" xfId="218" xr:uid="{00000000-0005-0000-0000-0000D8000000}"/>
    <cellStyle name="Accent6 3 2" xfId="1135" xr:uid="{393E79D3-6A93-4FC5-BC58-0C6D208767CA}"/>
    <cellStyle name="Accent6 4" xfId="264" xr:uid="{00000000-0005-0000-0000-0000D9000000}"/>
    <cellStyle name="Accent6 4 2" xfId="1136" xr:uid="{2400D7D5-448F-41EC-B144-F0773A2D67EE}"/>
    <cellStyle name="Accent6 5" xfId="313" xr:uid="{00000000-0005-0000-0000-0000DA000000}"/>
    <cellStyle name="Accent6 5 2" xfId="1137" xr:uid="{88D9331B-44B9-48EB-BCC5-47A36A59A06D}"/>
    <cellStyle name="Accent6 6" xfId="377" xr:uid="{00000000-0005-0000-0000-0000DB000000}"/>
    <cellStyle name="Accent6 6 2" xfId="1138" xr:uid="{B260B284-DD10-4822-9325-369AAC0302B0}"/>
    <cellStyle name="Accent6 7" xfId="448" xr:uid="{00000000-0005-0000-0000-0000DC000000}"/>
    <cellStyle name="Accent6 8" xfId="552" xr:uid="{00000000-0005-0000-0000-0000DD000000}"/>
    <cellStyle name="Accent6 9" xfId="957" xr:uid="{31DE2352-7871-47D4-AA82-7E747C110FA2}"/>
    <cellStyle name="Bad" xfId="43" builtinId="27" customBuiltin="1"/>
    <cellStyle name="Bad 2" xfId="173" xr:uid="{00000000-0005-0000-0000-0000DF000000}"/>
    <cellStyle name="Bad 2 2" xfId="1140" xr:uid="{EF3CDA51-3D50-43AD-AC08-88B3B52AEF02}"/>
    <cellStyle name="Bad 2 3" xfId="1139" xr:uid="{A73B6750-E885-4C74-82E2-F4EB09B85EE4}"/>
    <cellStyle name="Bad 3" xfId="219" xr:uid="{00000000-0005-0000-0000-0000E0000000}"/>
    <cellStyle name="Bad 3 2" xfId="1141" xr:uid="{1AEEBF8D-BD6A-4B40-8BF9-8431F8FAC5B5}"/>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Bad 9" xfId="948" xr:uid="{75FF57D6-7168-4E47-B741-7396B407EB1B}"/>
    <cellStyle name="Calculation" xfId="44" builtinId="22" customBuiltin="1"/>
    <cellStyle name="Calculation 2" xfId="174" xr:uid="{00000000-0005-0000-0000-0000E7000000}"/>
    <cellStyle name="Calculation 2 2" xfId="1143" xr:uid="{469FD491-EEDC-44CD-84EC-E8450110DEA4}"/>
    <cellStyle name="Calculation 2 2 2" xfId="3290" xr:uid="{8BDD3A74-61AF-4953-A27F-5B32B532D884}"/>
    <cellStyle name="Calculation 2 2 3" xfId="3141" xr:uid="{7896FD04-59FB-4E13-87C9-01D48FFC6D3E}"/>
    <cellStyle name="Calculation 2 3" xfId="3107" xr:uid="{B26FC16B-DE57-4E49-BE54-CD8B90EF129B}"/>
    <cellStyle name="Calculation 2 4" xfId="3294" xr:uid="{87E32EE9-651C-4737-A334-2CA799505CC5}"/>
    <cellStyle name="Calculation 2 5" xfId="1142" xr:uid="{CF9B27F6-9FE3-42F8-BE7F-2E8BF783A282}"/>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alculation 9" xfId="923" xr:uid="{CA2DF9D3-1031-47BE-883C-D830DE199877}"/>
    <cellStyle name="Check Cell" xfId="45" builtinId="23" customBuiltin="1"/>
    <cellStyle name="Check Cell 2" xfId="175" xr:uid="{00000000-0005-0000-0000-0000EF000000}"/>
    <cellStyle name="Check Cell 2 2" xfId="1145" xr:uid="{C922E485-1A5F-45CC-B93E-1A4081F3FCA5}"/>
    <cellStyle name="Check Cell 2 3" xfId="1144" xr:uid="{0554EDF0-82FD-4B9E-A7F8-C7B58CF5BD7A}"/>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heck Cell 9" xfId="983" xr:uid="{0FF80B56-0D70-42B8-BE8E-1DF3256F2D0E}"/>
    <cellStyle name="Comma" xfId="46" builtinId="3"/>
    <cellStyle name="Comma [0] 2" xfId="1146" xr:uid="{97CD7DFC-5A8D-4176-8E2B-5A4503614C4A}"/>
    <cellStyle name="Comma 10" xfId="891" xr:uid="{AA021DD0-4C03-4450-8885-A7D916097526}"/>
    <cellStyle name="Comma 10 2" xfId="1147" xr:uid="{68C2C8C2-F50C-4CA4-8525-580A914BFDDD}"/>
    <cellStyle name="Comma 10 2 2" xfId="1148" xr:uid="{8A34BE01-CC6D-4019-B06B-80E98CD16CCD}"/>
    <cellStyle name="Comma 10 3" xfId="1149" xr:uid="{7714276C-F20F-4672-AEE6-342684EA79E7}"/>
    <cellStyle name="Comma 10 4" xfId="930" xr:uid="{157ACD8A-9174-4A67-A274-730A03942E07}"/>
    <cellStyle name="Comma 11" xfId="1150" xr:uid="{92D650FF-2BFA-4F28-8EC1-AC8C89BE6482}"/>
    <cellStyle name="Comma 12" xfId="1151" xr:uid="{72BBCD3A-31C0-45FE-8FA1-4EBD73EECAEB}"/>
    <cellStyle name="Comma 12 2" xfId="1152" xr:uid="{137FCBCD-6564-4448-AB0F-E36E93CEFD9E}"/>
    <cellStyle name="Comma 12 2 2" xfId="1153" xr:uid="{7AC5401D-36D7-4203-9B8D-4CF1F03EC974}"/>
    <cellStyle name="Comma 12 3" xfId="1154" xr:uid="{493EE55F-C202-4205-921E-5B6677569D98}"/>
    <cellStyle name="Comma 13" xfId="1155" xr:uid="{1822ABD2-8AD4-45C4-8D75-A2A485677059}"/>
    <cellStyle name="Comma 13 2" xfId="1156" xr:uid="{F097B4DC-856B-4053-A682-03DBC7EE424F}"/>
    <cellStyle name="Comma 14" xfId="1157" xr:uid="{139F5FC7-44AF-4817-8AE2-91D8023161A1}"/>
    <cellStyle name="Comma 14 2" xfId="1158" xr:uid="{57AD8D7A-DA25-40DF-9097-69C463B20E92}"/>
    <cellStyle name="Comma 15" xfId="1159" xr:uid="{40654EEE-2F20-4689-8A8D-AF8C760112B5}"/>
    <cellStyle name="Comma 15 2" xfId="1160" xr:uid="{A2EADB3B-952E-48D6-AA9F-D9ACE873B5C5}"/>
    <cellStyle name="Comma 16" xfId="1161" xr:uid="{BD6B89C2-E096-4704-8A7A-73F5E7EF646D}"/>
    <cellStyle name="Comma 16 2" xfId="1162" xr:uid="{BEE6BBC5-CB30-4B56-A14B-FA48A25A3A22}"/>
    <cellStyle name="Comma 17" xfId="1163" xr:uid="{8DF524E8-ADCC-47D1-AE24-AA58F5460431}"/>
    <cellStyle name="Comma 17 2" xfId="1164" xr:uid="{476647E9-0129-4967-B81A-E8266010BA9F}"/>
    <cellStyle name="Comma 17 2 2" xfId="1165" xr:uid="{B5DFC4CD-0DA0-4B4E-98CF-6EFDFA2A90F1}"/>
    <cellStyle name="Comma 17 2 3" xfId="1166" xr:uid="{03F909B2-892B-4318-A85D-5CB9DDCD1715}"/>
    <cellStyle name="Comma 17 3" xfId="1167" xr:uid="{2ACF6974-7B36-44CD-AC98-8759C9F26967}"/>
    <cellStyle name="Comma 17 4" xfId="1168" xr:uid="{70044D7A-504C-479F-809A-063CB9AB900E}"/>
    <cellStyle name="Comma 18" xfId="1169" xr:uid="{D1A79776-9786-4614-8B6E-86C504440B9E}"/>
    <cellStyle name="Comma 19" xfId="1170" xr:uid="{39500E38-EA51-42AD-B9AD-103AC2D59EF8}"/>
    <cellStyle name="Comma 2" xfId="47" xr:uid="{00000000-0005-0000-0000-0000F7000000}"/>
    <cellStyle name="Comma 2 2" xfId="48" xr:uid="{00000000-0005-0000-0000-0000F8000000}"/>
    <cellStyle name="Comma 2 2 2" xfId="1171" xr:uid="{E7E86A3B-B0DB-49BD-8BE7-416BB3C1416C}"/>
    <cellStyle name="Comma 2 2 3" xfId="1172" xr:uid="{8FE40F42-BF90-460D-BAAF-9E9DA3B545D5}"/>
    <cellStyle name="Comma 2 3" xfId="1173" xr:uid="{62701446-57CC-4F1F-89AF-529BC20415E6}"/>
    <cellStyle name="Comma 2 3 2" xfId="1174" xr:uid="{DE213E23-BC48-4316-AA6E-9F355EFB0855}"/>
    <cellStyle name="Comma 2 3 3" xfId="1175" xr:uid="{A7168289-8C1F-43AA-B140-C90E3D974B62}"/>
    <cellStyle name="Comma 2 3 3 2" xfId="1176" xr:uid="{3EBAE58E-A84C-46E6-90C3-F55179533DC8}"/>
    <cellStyle name="Comma 2 3 4" xfId="1177" xr:uid="{B7E54ECD-869E-4AF4-97E6-989985171106}"/>
    <cellStyle name="Comma 2 3 5" xfId="1178" xr:uid="{E1BB7F7B-C27C-4218-A733-A37ACB7DA8E8}"/>
    <cellStyle name="Comma 2 4" xfId="1179" xr:uid="{58C1FB42-84CE-44F4-A4CA-639C0273AFA2}"/>
    <cellStyle name="Comma 2 5" xfId="1180" xr:uid="{FB7B5BF3-4914-4C3D-864D-CFDDF3C2EA77}"/>
    <cellStyle name="Comma 20" xfId="1181" xr:uid="{CEC18F73-988A-43CE-96A5-CDA4E4612E04}"/>
    <cellStyle name="Comma 21" xfId="1182" xr:uid="{10E16244-70EC-4EA2-82F1-2D41D7A7952D}"/>
    <cellStyle name="Comma 22" xfId="1183" xr:uid="{7ADD6C31-2A24-43D5-B699-BAE3AA6AB17F}"/>
    <cellStyle name="Comma 23" xfId="1184" xr:uid="{7D2F663A-F6FF-4CF9-8BD1-36A237A49003}"/>
    <cellStyle name="Comma 24" xfId="1185" xr:uid="{ABD29478-2E19-4543-A887-D38C2CDF771F}"/>
    <cellStyle name="Comma 25" xfId="1186" xr:uid="{E15E5154-245B-46F9-84ED-1CA25F283741}"/>
    <cellStyle name="Comma 26" xfId="1187" xr:uid="{5D12D41C-CA14-4EA5-9FAB-00BA2B28A68E}"/>
    <cellStyle name="Comma 27" xfId="1188" xr:uid="{BA4A031E-9EBB-428A-B601-83E4425E7F3C}"/>
    <cellStyle name="Comma 28" xfId="1189" xr:uid="{C2548BF5-C6D0-4ADB-AC4E-CD7D1464B82B}"/>
    <cellStyle name="Comma 29" xfId="1190" xr:uid="{EC4BB99F-63A8-4899-AC39-6C4407FF112D}"/>
    <cellStyle name="Comma 3" xfId="176" xr:uid="{00000000-0005-0000-0000-0000F9000000}"/>
    <cellStyle name="Comma 3 2" xfId="1192" xr:uid="{A49EE661-BEE4-473B-9700-1D5499DEF105}"/>
    <cellStyle name="Comma 3 3" xfId="1193" xr:uid="{0DF9808A-4D6A-4634-9CEB-E065FEBE2405}"/>
    <cellStyle name="Comma 3 3 2" xfId="1194" xr:uid="{9B77B6C1-2117-4293-A3DF-16F3066D92B1}"/>
    <cellStyle name="Comma 3 4" xfId="1191" xr:uid="{02B6AFB5-5B83-4BB2-A85C-CF1007851E99}"/>
    <cellStyle name="Comma 30" xfId="1195" xr:uid="{2A6BFE5F-BDED-4FD2-8035-8245BFFE8A96}"/>
    <cellStyle name="Comma 31" xfId="1196" xr:uid="{971650DA-6F40-4FC1-B69A-E366926FA0DA}"/>
    <cellStyle name="Comma 32" xfId="1197" xr:uid="{3BFB74EA-39D1-406E-B207-7B225344EA6B}"/>
    <cellStyle name="Comma 33" xfId="1198" xr:uid="{A74FDD34-F598-4CF8-841E-23EC884C5AB6}"/>
    <cellStyle name="Comma 34" xfId="1199" xr:uid="{7A781A14-63C9-4E75-97D8-4CA2FEE54963}"/>
    <cellStyle name="Comma 35" xfId="1200" xr:uid="{CD32AD17-24FA-497F-A40D-7B1CA5CA471B}"/>
    <cellStyle name="Comma 36" xfId="1201" xr:uid="{00C4D41D-E246-4DEB-9A51-DA3DE1C10D13}"/>
    <cellStyle name="Comma 37" xfId="1202" xr:uid="{678B7820-A76E-472B-8563-971C56E216A1}"/>
    <cellStyle name="Comma 38" xfId="1203" xr:uid="{B01FB710-8A90-45ED-89E3-969A501C4AE1}"/>
    <cellStyle name="Comma 39" xfId="1204" xr:uid="{8300141D-EB03-456B-8011-A20BB1324E2C}"/>
    <cellStyle name="Comma 4" xfId="222" xr:uid="{00000000-0005-0000-0000-0000FA000000}"/>
    <cellStyle name="Comma 4 2" xfId="1206" xr:uid="{E735E1D8-4A15-4B91-AFDD-0B77617E5195}"/>
    <cellStyle name="Comma 4 3" xfId="1207" xr:uid="{635FDFCB-1E3C-4059-8280-2D8AC616335B}"/>
    <cellStyle name="Comma 4 4" xfId="1208" xr:uid="{9A46E82D-B4BD-456C-9F8E-5051ECC36D73}"/>
    <cellStyle name="Comma 4 4 2" xfId="1209" xr:uid="{14E2004A-08A3-4724-838B-1E917FDB251D}"/>
    <cellStyle name="Comma 4 5" xfId="1210" xr:uid="{41B8D035-0E01-47A9-B205-BE23AD54A9D6}"/>
    <cellStyle name="Comma 4 6" xfId="1205" xr:uid="{8742A3C9-B8D8-4959-AEB3-6E985796953A}"/>
    <cellStyle name="Comma 40" xfId="1211" xr:uid="{FE8ED40D-34F2-4B08-A341-F21BC3F7F119}"/>
    <cellStyle name="Comma 41" xfId="1212" xr:uid="{DBCE1388-0DE0-4781-BCA1-01C820CE25AB}"/>
    <cellStyle name="Comma 42" xfId="3043" xr:uid="{912B3E8F-8527-4AB6-B24F-47DB6C340F0D}"/>
    <cellStyle name="Comma 43" xfId="3309" xr:uid="{BD579F3F-AC46-431D-A6F2-A60D0274FFB9}"/>
    <cellStyle name="Comma 44" xfId="3308" xr:uid="{C7760472-264E-4679-9986-A0C746B344D6}"/>
    <cellStyle name="Comma 45" xfId="3307" xr:uid="{EB6308FD-6A76-4D2E-A403-3AFC5D6DE18C}"/>
    <cellStyle name="Comma 46" xfId="3310" xr:uid="{1580F03D-FECF-4C76-B543-A70F1EFF9C40}"/>
    <cellStyle name="Comma 5" xfId="268" xr:uid="{00000000-0005-0000-0000-0000FB000000}"/>
    <cellStyle name="Comma 6" xfId="317" xr:uid="{00000000-0005-0000-0000-0000FC000000}"/>
    <cellStyle name="Comma 6 2" xfId="1214" xr:uid="{3D8586F0-E870-4E6E-953E-4D6B771DA682}"/>
    <cellStyle name="Comma 7" xfId="381" xr:uid="{00000000-0005-0000-0000-0000FD000000}"/>
    <cellStyle name="Comma 8" xfId="452" xr:uid="{00000000-0005-0000-0000-0000FE000000}"/>
    <cellStyle name="Comma 8 2" xfId="1215" xr:uid="{6ECA102A-4C95-4B9C-AAD1-42B9CBF72A02}"/>
    <cellStyle name="Comma 9" xfId="556" xr:uid="{00000000-0005-0000-0000-0000FF000000}"/>
    <cellStyle name="Comma 9 2" xfId="1216" xr:uid="{2F6FD71D-38D7-4472-9224-6B345E7C210C}"/>
    <cellStyle name="Currency 10" xfId="1217" xr:uid="{DAA7AE13-90DF-44D0-B12F-E79020C62AD4}"/>
    <cellStyle name="Currency 10 2" xfId="1218" xr:uid="{8E982539-AEF9-414F-9C7F-C0F7B9118325}"/>
    <cellStyle name="Currency 11" xfId="1219" xr:uid="{9CEFFF05-F7F9-404E-8AA8-ED0A3020E9F7}"/>
    <cellStyle name="Currency 12" xfId="1220" xr:uid="{9D3F97B5-C1EC-445C-8ACF-B67F693FA35E}"/>
    <cellStyle name="Currency 12 2" xfId="1221" xr:uid="{D810A0AA-BE08-42E9-845B-292D0CEDEB10}"/>
    <cellStyle name="Currency 12 2 2" xfId="1222" xr:uid="{B71F33A8-CC80-42BD-9F33-C977A155F1CA}"/>
    <cellStyle name="Currency 12 3" xfId="1223" xr:uid="{8912D54A-A4E4-46A0-943E-92AB09722F3B}"/>
    <cellStyle name="Currency 13" xfId="1224" xr:uid="{BF7EA303-8146-4F5E-98A5-9B72CFD30F9D}"/>
    <cellStyle name="Currency 13 2" xfId="1225" xr:uid="{B7A5358C-D27A-4A8A-8051-82D4A2123E28}"/>
    <cellStyle name="Currency 14" xfId="1226" xr:uid="{D7DE8B73-3920-4922-92A8-F69549D707B9}"/>
    <cellStyle name="Currency 14 2" xfId="1227" xr:uid="{6FC6FDE5-3C6F-4276-9FD6-F9160E9F259E}"/>
    <cellStyle name="Currency 15" xfId="1228" xr:uid="{E4F97831-B02A-478C-9958-3D7D4D92E931}"/>
    <cellStyle name="Currency 15 2" xfId="1229" xr:uid="{B5AD3F47-E18E-4AD7-8FFD-650D03CB1CDA}"/>
    <cellStyle name="Currency 16" xfId="1230" xr:uid="{34C5363A-0478-440A-914E-7634B0BF0311}"/>
    <cellStyle name="Currency 16 2" xfId="1231" xr:uid="{52EC6057-4F3A-4565-895D-1AA17F7E82B4}"/>
    <cellStyle name="Currency 17" xfId="1232" xr:uid="{C4948B3C-6E3C-4232-A36A-8EFD2689DDA6}"/>
    <cellStyle name="Currency 17 2" xfId="1233" xr:uid="{27427482-0F17-4F6A-9F68-38A3ECEFDBAC}"/>
    <cellStyle name="Currency 18" xfId="1234" xr:uid="{C89E21F9-A1BC-4756-BF1F-A01203A87CEA}"/>
    <cellStyle name="Currency 18 2" xfId="1235" xr:uid="{A8000D24-AF90-46B2-A088-48EAA7CD2CA1}"/>
    <cellStyle name="Currency 18 2 2" xfId="1236" xr:uid="{B7C81EC8-5649-450A-9DA5-461497DEBF56}"/>
    <cellStyle name="Currency 18 2 3" xfId="1237" xr:uid="{3D510FBD-DFC6-4188-BB2B-1A60C69FD0C8}"/>
    <cellStyle name="Currency 18 3" xfId="1238" xr:uid="{B53FEBF3-5B8F-4AC0-A95A-A703E245119D}"/>
    <cellStyle name="Currency 18 4" xfId="1239" xr:uid="{394EF61E-0669-4EAF-89B9-A7EAE830A0DE}"/>
    <cellStyle name="Currency 18 5" xfId="1240" xr:uid="{2406DB68-BA10-4404-AA40-34A45ACA25BC}"/>
    <cellStyle name="Currency 19" xfId="2268" xr:uid="{ABE63D88-05B9-4341-BF7F-1CE44D24387E}"/>
    <cellStyle name="Currency 2" xfId="49" xr:uid="{00000000-0005-0000-0000-000000010000}"/>
    <cellStyle name="Currency 2 2" xfId="50" xr:uid="{00000000-0005-0000-0000-000001010000}"/>
    <cellStyle name="Currency 2 2 2" xfId="1243" xr:uid="{E201012F-DE9A-4F2F-B13C-C0342E802014}"/>
    <cellStyle name="Currency 2 2 3" xfId="1242" xr:uid="{61010E2F-D2E7-4415-9717-2684358FC8A8}"/>
    <cellStyle name="Currency 2 3" xfId="1244" xr:uid="{41FC98B7-8DD9-4D98-8108-FD1500525169}"/>
    <cellStyle name="Currency 2 4" xfId="1245" xr:uid="{279044D2-7595-43D7-AD3E-95E5EB466ACB}"/>
    <cellStyle name="Currency 2 5" xfId="1241" xr:uid="{1D662784-D386-486B-ADD7-6BE09A3A13A2}"/>
    <cellStyle name="Currency 3" xfId="51" xr:uid="{00000000-0005-0000-0000-000002010000}"/>
    <cellStyle name="Currency 3 2" xfId="52" xr:uid="{00000000-0005-0000-0000-000003010000}"/>
    <cellStyle name="Currency 3 2 2" xfId="1246" xr:uid="{FD5F7968-4EB3-4004-902F-960F1B3DA825}"/>
    <cellStyle name="Currency 3 2 3" xfId="1247" xr:uid="{BE4A63EE-C1FF-4478-9392-B7E9D11A766A}"/>
    <cellStyle name="Currency 3 2 4" xfId="1248" xr:uid="{C3357B12-7269-471A-9CCA-0BAA693FD628}"/>
    <cellStyle name="Currency 3 3" xfId="1249" xr:uid="{3088D22E-097A-438C-8945-BDC153FE649D}"/>
    <cellStyle name="Currency 3 3 2" xfId="1250" xr:uid="{79D8C32D-4775-47A7-8DAA-7AB257B26260}"/>
    <cellStyle name="Currency 3 3 3" xfId="1251" xr:uid="{98B17E30-5E64-46E2-B83B-731EA5B463ED}"/>
    <cellStyle name="Currency 3 3 3 2" xfId="1252" xr:uid="{7D28ABCF-1C3F-42C1-BB13-BA194D7F9E34}"/>
    <cellStyle name="Currency 3 3 4" xfId="1253" xr:uid="{90EFB2FC-6EA9-4327-A845-4C23ACF35325}"/>
    <cellStyle name="Currency 3 4" xfId="1254" xr:uid="{F6294732-912E-4394-8D3D-2175E3498189}"/>
    <cellStyle name="Currency 3 5" xfId="1255" xr:uid="{C8814D9A-7522-4DE7-9501-57C086FC2A9D}"/>
    <cellStyle name="Currency 3 6" xfId="1256" xr:uid="{93B0155A-FD22-4EAC-B4FE-5325557393A8}"/>
    <cellStyle name="Currency 3 7" xfId="1257" xr:uid="{0660CDC1-723B-4A56-A7C0-0B2F3780FAB0}"/>
    <cellStyle name="Currency 3 8" xfId="1258" xr:uid="{0C193B52-817F-4DA8-824C-C6EBD67B8C87}"/>
    <cellStyle name="Currency 4" xfId="53" xr:uid="{00000000-0005-0000-0000-000004010000}"/>
    <cellStyle name="Currency 4 10" xfId="1805" xr:uid="{EFAC7B31-BA33-4C73-8FC4-6E2F25534A51}"/>
    <cellStyle name="Currency 4 10 2" xfId="2643" xr:uid="{40008FDA-B230-4A5A-9919-DF3F087DE3A1}"/>
    <cellStyle name="Currency 4 11" xfId="2371" xr:uid="{1E4B7249-AF69-45B6-BFDF-71F9118B83E7}"/>
    <cellStyle name="Currency 4 12" xfId="1259" xr:uid="{E7DAEBC2-444C-4ECF-A8D9-C6A2487CC9FE}"/>
    <cellStyle name="Currency 4 2" xfId="127" xr:uid="{00000000-0005-0000-0000-000005010000}"/>
    <cellStyle name="Currency 4 3" xfId="1260" xr:uid="{F14B565A-AF7A-4132-858B-D46891E7FECE}"/>
    <cellStyle name="Currency 4 4" xfId="1261" xr:uid="{1215AFDC-EF92-4ECD-9F23-105BB59802C4}"/>
    <cellStyle name="Currency 4 4 2" xfId="1262" xr:uid="{FB3ED144-2B78-49B6-BE58-E8FE9E6E2C85}"/>
    <cellStyle name="Currency 4 5" xfId="1263" xr:uid="{87AE4AD2-7D37-434A-8ED7-C3BD0C4F0819}"/>
    <cellStyle name="Currency 4 6" xfId="1264" xr:uid="{101F1732-1CBC-41B6-BB1B-62CC7AFAB105}"/>
    <cellStyle name="Currency 4 7" xfId="1265" xr:uid="{6F1C5B3E-5D2C-4E86-AC39-2B575E05E043}"/>
    <cellStyle name="Currency 4 8" xfId="1266" xr:uid="{4C0EB38E-9942-4FF6-B106-30C41CBB584C}"/>
    <cellStyle name="Currency 4 9" xfId="1267" xr:uid="{F060286D-DAEE-4B73-81C1-C3A2159FCC7D}"/>
    <cellStyle name="Currency 4 9 2" xfId="1975" xr:uid="{65A926D2-AE05-465C-9EB7-04D01620B564}"/>
    <cellStyle name="Currency 4 9 2 2" xfId="2813" xr:uid="{6F09FFD0-C0AD-418E-AB72-EF170FF94FF7}"/>
    <cellStyle name="Currency 4 9 3" xfId="2372" xr:uid="{08F4D02B-4292-473D-ADC0-56ABAC607A79}"/>
    <cellStyle name="Currency 5" xfId="1268" xr:uid="{900E3995-2E18-4599-9BBE-6A07BB2A64BA}"/>
    <cellStyle name="Currency 5 2" xfId="1269" xr:uid="{70B909D3-B9F5-4ACC-8172-1B8C02222110}"/>
    <cellStyle name="Currency 6" xfId="1270" xr:uid="{3F346143-F901-4DF5-AEBD-3C6F74774E30}"/>
    <cellStyle name="Currency 6 2" xfId="1271" xr:uid="{3EF08993-B2A1-4E2B-82E9-CBB25FF36B29}"/>
    <cellStyle name="Currency 7" xfId="1272" xr:uid="{1043828E-45E4-4D96-85B7-09A15AF790F3}"/>
    <cellStyle name="Currency 7 2" xfId="1273" xr:uid="{4B5EBE0C-DF62-4828-ABDC-75E3A402E8D7}"/>
    <cellStyle name="Currency 7 3" xfId="1274" xr:uid="{9A32415E-325B-4E9B-BB8B-2BA34A6EFC2B}"/>
    <cellStyle name="Currency 8" xfId="1275" xr:uid="{991D6C1F-BC65-403F-859D-AA6A4A33BE17}"/>
    <cellStyle name="Currency 8 2" xfId="1276" xr:uid="{78526ABE-6E10-41BE-A51B-06C646A28CDC}"/>
    <cellStyle name="Currency 9" xfId="1277" xr:uid="{B7EB932E-5D2A-4502-A9EC-7E4985415933}"/>
    <cellStyle name="Currency 9 2" xfId="1278" xr:uid="{04B29BBA-569C-43B6-9B15-23B6E36323C3}"/>
    <cellStyle name="Emphasis 1" xfId="54" xr:uid="{00000000-0005-0000-0000-000006010000}"/>
    <cellStyle name="Emphasis 1 2" xfId="917" xr:uid="{74CCC5F6-5282-4A82-B4C7-6996BEAA31E3}"/>
    <cellStyle name="Emphasis 1 3" xfId="1279" xr:uid="{FAB9CDBF-38DC-4B39-BEA3-4C6946A1EA52}"/>
    <cellStyle name="Emphasis 2" xfId="55" xr:uid="{00000000-0005-0000-0000-000007010000}"/>
    <cellStyle name="Emphasis 2 2" xfId="918" xr:uid="{7DF847CC-DDD8-4E36-B62A-9D6AB0C4F0F3}"/>
    <cellStyle name="Emphasis 2 3" xfId="1280" xr:uid="{216350D6-20C0-4331-87E5-99F54F3A4EE8}"/>
    <cellStyle name="Emphasis 3" xfId="56" xr:uid="{00000000-0005-0000-0000-000008010000}"/>
    <cellStyle name="Emphasis 3 2" xfId="919" xr:uid="{1D85A897-D5F1-4CF0-A272-1A8272AC77B8}"/>
    <cellStyle name="Explanatory Text" xfId="57" builtinId="53" customBuiltin="1"/>
    <cellStyle name="Explanatory Text 2" xfId="177" xr:uid="{00000000-0005-0000-0000-00000A010000}"/>
    <cellStyle name="Explanatory Text 2 2" xfId="1281" xr:uid="{6B223D25-EBF2-48C0-9D0E-7AB8CF431BC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Explanatory Text 9" xfId="922" xr:uid="{D73C82E4-7EB2-44C8-8269-71A823648203}"/>
    <cellStyle name="Good" xfId="58" builtinId="26" customBuiltin="1"/>
    <cellStyle name="Good 2" xfId="178" xr:uid="{00000000-0005-0000-0000-000012010000}"/>
    <cellStyle name="Good 2 2" xfId="1283" xr:uid="{4A8C39FC-9655-4713-BCF7-A2D2E3E47EBE}"/>
    <cellStyle name="Good 2 3" xfId="1284" xr:uid="{0873EB1A-3C28-45F8-94F6-89BF6598174D}"/>
    <cellStyle name="Good 2 4" xfId="1282" xr:uid="{2795725B-B5E4-48E4-B781-9603FE581344}"/>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Good 9" xfId="924" xr:uid="{B9964E3A-2E01-42E4-BFF4-480EDA461974}"/>
    <cellStyle name="Heading 1" xfId="59" builtinId="16" customBuiltin="1"/>
    <cellStyle name="Heading 1 2" xfId="179" xr:uid="{00000000-0005-0000-0000-00001A010000}"/>
    <cellStyle name="Heading 1 2 2" xfId="1286" xr:uid="{80CA7419-8821-4512-9534-636CD0DFD148}"/>
    <cellStyle name="Heading 1 2 3" xfId="1285" xr:uid="{24AC5080-E21D-47DE-A0FE-B0C982CA2A4E}"/>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1 9" xfId="929" xr:uid="{9F610093-5186-443C-8749-A509FA11AA3B}"/>
    <cellStyle name="Heading 2" xfId="60" builtinId="17" customBuiltin="1"/>
    <cellStyle name="Heading 2 2" xfId="180" xr:uid="{00000000-0005-0000-0000-000022010000}"/>
    <cellStyle name="Heading 2 2 2" xfId="1288" xr:uid="{55E8AC3F-397B-4AD3-8D6F-A01C23E89ACB}"/>
    <cellStyle name="Heading 2 2 3" xfId="1287" xr:uid="{77BF7205-C67F-4C68-8797-44E4BE037886}"/>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2 9" xfId="928" xr:uid="{CAD5B6B2-30B5-42C3-9D8E-F695196BD282}"/>
    <cellStyle name="Heading 3" xfId="61" builtinId="18" customBuiltin="1"/>
    <cellStyle name="Heading 3 2" xfId="181" xr:uid="{00000000-0005-0000-0000-00002A010000}"/>
    <cellStyle name="Heading 3 2 2" xfId="1290" xr:uid="{7B3B58F5-89E5-4E55-B3E1-BC9F1B58EE84}"/>
    <cellStyle name="Heading 3 2 3" xfId="1289" xr:uid="{9D1C87DF-4008-419A-A053-3A0B71535B19}"/>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3 9" xfId="927" xr:uid="{D7B7C194-7642-468E-BF05-DD94E5FFFD86}"/>
    <cellStyle name="Heading 4" xfId="62" builtinId="19" customBuiltin="1"/>
    <cellStyle name="Heading 4 2" xfId="182" xr:uid="{00000000-0005-0000-0000-000032010000}"/>
    <cellStyle name="Heading 4 2 2" xfId="1292" xr:uid="{F97BD222-B504-4DBF-A7EB-EE30EB52A590}"/>
    <cellStyle name="Heading 4 2 3" xfId="1291" xr:uid="{51208659-6264-4C45-82E3-CBF262B42127}"/>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Heading 4 9" xfId="926" xr:uid="{3C9A4483-BEDF-4D26-9C6C-EAFDA0191319}"/>
    <cellStyle name="Input" xfId="63" builtinId="20" customBuiltin="1"/>
    <cellStyle name="Input 2" xfId="183" xr:uid="{00000000-0005-0000-0000-00003A010000}"/>
    <cellStyle name="Input 2 2" xfId="1294" xr:uid="{8899C54C-7999-4683-9767-B5290C6E019C}"/>
    <cellStyle name="Input 2 2 2" xfId="3227" xr:uid="{BDB2C478-9B34-4C8A-ADFC-B1E5A5D55AC0}"/>
    <cellStyle name="Input 2 2 3" xfId="3261" xr:uid="{258DE233-A65E-4866-95C8-4B39CE3CE6E0}"/>
    <cellStyle name="Input 2 3" xfId="3116" xr:uid="{FD47FBA9-CE1D-41D2-A32C-BE8B9CA5CDEA}"/>
    <cellStyle name="Input 2 4" xfId="3247" xr:uid="{A2FF7547-0326-44DF-B804-2B22B6369143}"/>
    <cellStyle name="Input 2 5" xfId="1293" xr:uid="{4A06307E-D690-4EAE-AFEF-D1040613786B}"/>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Input 9" xfId="988" xr:uid="{7979286E-28E5-4DB1-ABF0-6FC70E9297BC}"/>
    <cellStyle name="Linked Cell" xfId="64" builtinId="24" customBuiltin="1"/>
    <cellStyle name="Linked Cell 2" xfId="184" xr:uid="{00000000-0005-0000-0000-000042010000}"/>
    <cellStyle name="Linked Cell 2 2" xfId="1296" xr:uid="{4BA08E7A-2977-4113-9957-DE06136457C5}"/>
    <cellStyle name="Linked Cell 2 3" xfId="1295" xr:uid="{6A6B1FDA-6976-4637-918B-7F881145FE14}"/>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Linked Cell 9" xfId="943" xr:uid="{383AA543-5FEB-4173-896E-27759E55D80C}"/>
    <cellStyle name="Neutral" xfId="65" builtinId="28" customBuiltin="1"/>
    <cellStyle name="Neutral 2" xfId="185" xr:uid="{00000000-0005-0000-0000-00004A010000}"/>
    <cellStyle name="Neutral 2 2" xfId="1298" xr:uid="{041E7A13-BE7D-4252-B8C7-7D878CF6CF55}"/>
    <cellStyle name="Neutral 2 3" xfId="1297" xr:uid="{0EBF437E-E014-4157-8CF0-AED8B99A2C3E}"/>
    <cellStyle name="Neutral 3" xfId="231" xr:uid="{00000000-0005-0000-0000-00004B010000}"/>
    <cellStyle name="Neutral 3 2" xfId="1299" xr:uid="{1A1E86A7-E928-4DDC-913D-AD9FA5604064}"/>
    <cellStyle name="Neutral 4" xfId="277" xr:uid="{00000000-0005-0000-0000-00004C010000}"/>
    <cellStyle name="Neutral 4 2" xfId="1782" xr:uid="{34CD3D16-B5E8-4A29-97B3-B49F6B1F7736}"/>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2 2" xfId="2230" xr:uid="{896B54DE-50A3-41E4-B4A9-A30A5FB376D4}"/>
    <cellStyle name="Normal 10 2 3" xfId="522" xr:uid="{00000000-0005-0000-0000-000055010000}"/>
    <cellStyle name="Normal 10 2 3 2" xfId="2206" xr:uid="{E09CD5EF-0DF6-4392-9655-B3F949A96223}"/>
    <cellStyle name="Normal 10 3" xfId="521" xr:uid="{00000000-0005-0000-0000-000056010000}"/>
    <cellStyle name="Normal 10 3 2" xfId="2013" xr:uid="{7745E213-0E61-4785-870B-41F75C1D3115}"/>
    <cellStyle name="Normal 10 3 2 2" xfId="2851" xr:uid="{CDBC5013-947E-4494-8351-B2197DDEE8AC}"/>
    <cellStyle name="Normal 10 3 3" xfId="2374" xr:uid="{01E57F75-D9F3-4147-879B-2E2814D110F7}"/>
    <cellStyle name="Normal 10 3 4" xfId="1301" xr:uid="{9A94F352-8BBC-488B-A76F-CF622501CF8A}"/>
    <cellStyle name="Normal 10 4" xfId="1843" xr:uid="{29780475-1C47-48AC-A136-AFA6477CFBAE}"/>
    <cellStyle name="Normal 10 4 2" xfId="2681" xr:uid="{14409364-0323-41CD-8558-2125D0EA9CD0}"/>
    <cellStyle name="Normal 10 5" xfId="2229" xr:uid="{5AF3DE03-B4A8-43C7-BA7B-F058EF16009E}"/>
    <cellStyle name="Normal 10 6" xfId="2373" xr:uid="{3A732DCF-C5B0-4F24-8E54-3873CBFF7EB4}"/>
    <cellStyle name="Normal 10 7" xfId="1300" xr:uid="{11FFE916-F797-4BA2-8E61-AD503BC8B58D}"/>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2 4" xfId="2232" xr:uid="{B1237019-C641-42A9-AED3-1445FAECAC3F}"/>
    <cellStyle name="Normal 11 2 3" xfId="605" xr:uid="{00000000-0005-0000-0000-00005D010000}"/>
    <cellStyle name="Normal 11 2 3 2" xfId="816" xr:uid="{00000000-0005-0000-0000-00005E010000}"/>
    <cellStyle name="Normal 11 2 3 3" xfId="2207" xr:uid="{BB019278-5D42-465A-A2EC-B9C667EA61E1}"/>
    <cellStyle name="Normal 11 2 4" xfId="710" xr:uid="{00000000-0005-0000-0000-00005F010000}"/>
    <cellStyle name="Normal 11 2 5" xfId="1303" xr:uid="{536546D5-378C-4DD6-BE7F-78F86762F9EB}"/>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3 4" xfId="1304" xr:uid="{359B6297-B3DD-403F-BDFF-8288E8BDBB3B}"/>
    <cellStyle name="Normal 11 4" xfId="579" xr:uid="{00000000-0005-0000-0000-000064010000}"/>
    <cellStyle name="Normal 11 4 2" xfId="790" xr:uid="{00000000-0005-0000-0000-000065010000}"/>
    <cellStyle name="Normal 11 4 3" xfId="2231" xr:uid="{6BC8C81C-09D2-4FAC-BF98-12A324E869A3}"/>
    <cellStyle name="Normal 11 5" xfId="684" xr:uid="{00000000-0005-0000-0000-000066010000}"/>
    <cellStyle name="Normal 11 5 2" xfId="2198" xr:uid="{C253D32C-3448-4783-ACE3-D463ADA6E348}"/>
    <cellStyle name="Normal 11 6" xfId="1302" xr:uid="{75FD1AD2-165D-4662-9D50-EC185D54BE1E}"/>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2 4" xfId="2234" xr:uid="{F3DA8E82-5C98-471A-B96F-B58C3C8E1248}"/>
    <cellStyle name="Normal 12 2 3" xfId="613" xr:uid="{00000000-0005-0000-0000-00006D010000}"/>
    <cellStyle name="Normal 12 2 3 2" xfId="824" xr:uid="{00000000-0005-0000-0000-00006E010000}"/>
    <cellStyle name="Normal 12 2 3 3" xfId="2208" xr:uid="{E23C1F4A-746B-4B1A-A788-66B8069A8956}"/>
    <cellStyle name="Normal 12 2 4" xfId="718" xr:uid="{00000000-0005-0000-0000-00006F010000}"/>
    <cellStyle name="Normal 12 2 5" xfId="1306" xr:uid="{1831F7C4-12E4-497E-BF82-A1659D30E57F}"/>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3 4" xfId="2233" xr:uid="{FAB73BD6-5809-47BF-965B-F055B397A81A}"/>
    <cellStyle name="Normal 12 4" xfId="587" xr:uid="{00000000-0005-0000-0000-000074010000}"/>
    <cellStyle name="Normal 12 4 2" xfId="798" xr:uid="{00000000-0005-0000-0000-000075010000}"/>
    <cellStyle name="Normal 12 4 3" xfId="2199" xr:uid="{D9B9E22E-5861-4F8B-BB01-B2659081A43F}"/>
    <cellStyle name="Normal 12 5" xfId="692" xr:uid="{00000000-0005-0000-0000-000076010000}"/>
    <cellStyle name="Normal 12 6" xfId="1305" xr:uid="{C4A3F2F2-7C80-4D10-83C5-3EFEE42D01C3}"/>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2 4" xfId="2236" xr:uid="{EBBC7A27-84C2-4C2F-9425-435EFD7E8B81}"/>
    <cellStyle name="Normal 13 2 3" xfId="614" xr:uid="{00000000-0005-0000-0000-00007D010000}"/>
    <cellStyle name="Normal 13 2 3 2" xfId="825" xr:uid="{00000000-0005-0000-0000-00007E010000}"/>
    <cellStyle name="Normal 13 2 3 3" xfId="2209" xr:uid="{665B9D62-F24E-472E-A18C-0F64BA4CB6D0}"/>
    <cellStyle name="Normal 13 2 4" xfId="719" xr:uid="{00000000-0005-0000-0000-00007F010000}"/>
    <cellStyle name="Normal 13 2 5" xfId="1308" xr:uid="{A58B22DC-9888-4C88-9ECA-E0DD3B68AA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3 4" xfId="2235" xr:uid="{78B253D6-BC88-4CF8-AE7F-5ED6330192B5}"/>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4 4" xfId="2200" xr:uid="{7C60ACB3-08A1-406A-AB5C-075E8198CC57}"/>
    <cellStyle name="Normal 13 5" xfId="588" xr:uid="{00000000-0005-0000-0000-000088010000}"/>
    <cellStyle name="Normal 13 5 2" xfId="799" xr:uid="{00000000-0005-0000-0000-000089010000}"/>
    <cellStyle name="Normal 13 6" xfId="693" xr:uid="{00000000-0005-0000-0000-00008A010000}"/>
    <cellStyle name="Normal 13 7" xfId="1307" xr:uid="{0823F6CE-9006-4667-A384-5A18B24F26C4}"/>
    <cellStyle name="Normal 14" xfId="350" xr:uid="{00000000-0005-0000-0000-00008B010000}"/>
    <cellStyle name="Normal 14 2" xfId="525" xr:uid="{00000000-0005-0000-0000-00008C010000}"/>
    <cellStyle name="Normal 14 2 2" xfId="2210" xr:uid="{0DD9191A-8CAB-49F9-B958-B41F80B9B104}"/>
    <cellStyle name="Normal 14 3" xfId="2237" xr:uid="{872AA135-9884-44AC-9755-B1AFEC9A8283}"/>
    <cellStyle name="Normal 14 4" xfId="2201" xr:uid="{98C646ED-8A1A-46A3-89D7-0C10946966BA}"/>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2 3" xfId="2957" xr:uid="{E0387569-ACE5-4B09-B2B5-568300CC1555}"/>
    <cellStyle name="Normal 15 2 2 3" xfId="779" xr:uid="{00000000-0005-0000-0000-000092010000}"/>
    <cellStyle name="Normal 15 2 2 4" xfId="2119" xr:uid="{FACAD500-77C1-497F-AA6B-1548A0E50F44}"/>
    <cellStyle name="Normal 15 2 3" xfId="622" xr:uid="{00000000-0005-0000-0000-000093010000}"/>
    <cellStyle name="Normal 15 2 3 2" xfId="833" xr:uid="{00000000-0005-0000-0000-000094010000}"/>
    <cellStyle name="Normal 15 2 3 3" xfId="2376" xr:uid="{F6B08547-CBDB-4E30-84B3-15BCB12EF944}"/>
    <cellStyle name="Normal 15 2 4" xfId="727" xr:uid="{00000000-0005-0000-0000-000095010000}"/>
    <cellStyle name="Normal 15 2 5" xfId="1310" xr:uid="{B1ACDB92-0B5B-4A74-B56B-82E695355E53}"/>
    <cellStyle name="Normal 15 3" xfId="492" xr:uid="{00000000-0005-0000-0000-000096010000}"/>
    <cellStyle name="Normal 15 3 2" xfId="648" xr:uid="{00000000-0005-0000-0000-000097010000}"/>
    <cellStyle name="Normal 15 3 2 2" xfId="859" xr:uid="{00000000-0005-0000-0000-000098010000}"/>
    <cellStyle name="Normal 15 3 2 3" xfId="2787" xr:uid="{61851684-E9E0-43D1-AE13-D0AAF5A67777}"/>
    <cellStyle name="Normal 15 3 3" xfId="753" xr:uid="{00000000-0005-0000-0000-000099010000}"/>
    <cellStyle name="Normal 15 3 4" xfId="1949" xr:uid="{E3E29C29-2977-4ADE-A2BC-351F8CE28D0D}"/>
    <cellStyle name="Normal 15 4" xfId="596" xr:uid="{00000000-0005-0000-0000-00009A010000}"/>
    <cellStyle name="Normal 15 4 2" xfId="807" xr:uid="{00000000-0005-0000-0000-00009B010000}"/>
    <cellStyle name="Normal 15 4 3" xfId="2250" xr:uid="{16D423AB-C584-47A5-8EB6-A13A83539A06}"/>
    <cellStyle name="Normal 15 5" xfId="701" xr:uid="{00000000-0005-0000-0000-00009C010000}"/>
    <cellStyle name="Normal 15 5 2" xfId="2375" xr:uid="{D210574B-B941-466F-AE6F-1D16F5B7C128}"/>
    <cellStyle name="Normal 15 6" xfId="1309" xr:uid="{9269CDDA-494E-4B6C-B353-2DF34A2C7E51}"/>
    <cellStyle name="Normal 16" xfId="353" xr:uid="{00000000-0005-0000-0000-00009D010000}"/>
    <cellStyle name="Normal 16 2" xfId="1312" xr:uid="{DFA8D8BF-5C62-4BD2-86D1-5A3AEBCF9724}"/>
    <cellStyle name="Normal 16 2 2" xfId="2120" xr:uid="{93CCDFDA-44FF-4039-B550-F612A566DAD0}"/>
    <cellStyle name="Normal 16 2 2 2" xfId="2958" xr:uid="{E3E4DBED-988B-4569-9AC9-430BECF5C2D2}"/>
    <cellStyle name="Normal 16 2 3" xfId="2378" xr:uid="{5F37D00A-41B4-4108-A70B-72EB3368C309}"/>
    <cellStyle name="Normal 16 3" xfId="1950" xr:uid="{4C03A992-2D06-4BBB-83AB-E80333C81C71}"/>
    <cellStyle name="Normal 16 3 2" xfId="2788" xr:uid="{84112764-30AB-4764-A843-B48178873FFF}"/>
    <cellStyle name="Normal 16 4" xfId="2377" xr:uid="{D44DFBB8-C2DF-4C80-95C7-AA091B75CCA1}"/>
    <cellStyle name="Normal 16 5" xfId="1311" xr:uid="{D79D8932-4180-4FAF-BF13-F3546DA2C8DC}"/>
    <cellStyle name="Normal 165" xfId="2284" xr:uid="{B8C1ABD9-4EDC-4849-8C1E-1B841AA9516A}"/>
    <cellStyle name="Normal 168" xfId="2285" xr:uid="{9DB8BC59-033A-4D3A-9793-1A40E8FD21A2}"/>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2 2 2" xfId="2959" xr:uid="{9F0A78E4-A6B7-41BC-B452-BBD502102970}"/>
    <cellStyle name="Normal 17 2 2 3" xfId="2121" xr:uid="{33AA9152-B9EF-4F9C-9878-D7635051E323}"/>
    <cellStyle name="Normal 17 2 3" xfId="754" xr:uid="{00000000-0005-0000-0000-0000A2010000}"/>
    <cellStyle name="Normal 17 2 3 2" xfId="2380" xr:uid="{69B432DD-A864-45EC-A6B7-D1DFA71D9ADF}"/>
    <cellStyle name="Normal 17 2 4" xfId="1314" xr:uid="{D6A1770A-5520-4769-A95B-CF920564037F}"/>
    <cellStyle name="Normal 17 3" xfId="597" xr:uid="{00000000-0005-0000-0000-0000A3010000}"/>
    <cellStyle name="Normal 17 3 2" xfId="808" xr:uid="{00000000-0005-0000-0000-0000A4010000}"/>
    <cellStyle name="Normal 17 3 2 2" xfId="2789" xr:uid="{9C97885F-EC3A-460F-B574-D10D4676B590}"/>
    <cellStyle name="Normal 17 3 3" xfId="1951" xr:uid="{0C529913-0AD0-4082-85CE-C6EC05C7D33D}"/>
    <cellStyle name="Normal 17 4" xfId="702" xr:uid="{00000000-0005-0000-0000-0000A5010000}"/>
    <cellStyle name="Normal 17 4 2" xfId="2379" xr:uid="{9C27CD71-70FB-4874-BE7D-383D249388BC}"/>
    <cellStyle name="Normal 17 5" xfId="1313" xr:uid="{2A8E8EB0-E351-41B4-B3ED-A9DE8ED5AFA5}"/>
    <cellStyle name="Normal 18" xfId="424" xr:uid="{00000000-0005-0000-0000-0000A6010000}"/>
    <cellStyle name="Normal 18 2" xfId="1316" xr:uid="{4E4E855A-839A-40B7-83B5-F79856333CF8}"/>
    <cellStyle name="Normal 18 2 2" xfId="2122" xr:uid="{2AB32E39-A36A-4158-BD78-8BEC7CC3BB52}"/>
    <cellStyle name="Normal 18 2 2 2" xfId="2960" xr:uid="{15FF26EA-A3EA-4A5E-A814-55B796E72485}"/>
    <cellStyle name="Normal 18 2 3" xfId="2382" xr:uid="{D74C2703-BCB4-424E-BFD4-4FFEED7732C1}"/>
    <cellStyle name="Normal 18 3" xfId="1952" xr:uid="{6DDD70DF-9106-4F18-A395-3CDB68AAFC87}"/>
    <cellStyle name="Normal 18 3 2" xfId="2790" xr:uid="{1E990523-948E-4826-A0B1-8C611AB2E1FA}"/>
    <cellStyle name="Normal 18 4" xfId="2381" xr:uid="{2968BD70-1B29-40B6-8420-4CEDE7353D2B}"/>
    <cellStyle name="Normal 18 5" xfId="1315" xr:uid="{D3D87B67-D586-4984-96D1-48DD869CFCA4}"/>
    <cellStyle name="Normal 19" xfId="519" xr:uid="{00000000-0005-0000-0000-0000A7010000}"/>
    <cellStyle name="Normal 19 2" xfId="1318" xr:uid="{381D507A-19EF-4A23-B78E-9433E68C2593}"/>
    <cellStyle name="Normal 19 2 2" xfId="2123" xr:uid="{FFECB7BB-8345-4B40-A374-AB42B8027EC4}"/>
    <cellStyle name="Normal 19 2 2 2" xfId="2961" xr:uid="{9A23A2E2-EA8C-47F8-A588-BE9DA63B851B}"/>
    <cellStyle name="Normal 19 2 3" xfId="2384" xr:uid="{CD542455-9614-4416-9C89-CC59F53D741A}"/>
    <cellStyle name="Normal 19 3" xfId="1953" xr:uid="{BA1D3E27-1356-44FA-AC9F-02773BD89958}"/>
    <cellStyle name="Normal 19 3 2" xfId="2791" xr:uid="{31CC1185-EAB4-4382-BD43-BC7F204D14B4}"/>
    <cellStyle name="Normal 19 4" xfId="2383" xr:uid="{6A27CE8B-B996-4E34-AFCC-FB006C92EFC9}"/>
    <cellStyle name="Normal 19 5" xfId="1317" xr:uid="{227A798D-C2BB-45E1-A183-962A3DAA4356}"/>
    <cellStyle name="Normal 2" xfId="66" xr:uid="{00000000-0005-0000-0000-0000A8010000}"/>
    <cellStyle name="Normal 2 10" xfId="1319" xr:uid="{D7D68F55-FC51-430F-A580-C3BB851B020A}"/>
    <cellStyle name="Normal 2 10 10 2" xfId="1320" xr:uid="{CAA4247B-2796-4BC2-BEBD-71D4D484C625}"/>
    <cellStyle name="Normal 2 11" xfId="1321" xr:uid="{9B9B63FE-993B-46FD-A281-450E73FF9B22}"/>
    <cellStyle name="Normal 2 11 2" xfId="1322" xr:uid="{21A96976-0428-4133-BA8F-127400EC8AEB}"/>
    <cellStyle name="Normal 2 11 2 2" xfId="2014" xr:uid="{7DD836DA-F140-4191-8FD1-9187B091B746}"/>
    <cellStyle name="Normal 2 11 2 2 2" xfId="2852" xr:uid="{1914154A-C586-4879-AEC8-05438BD915D8}"/>
    <cellStyle name="Normal 2 11 2 3" xfId="2386" xr:uid="{66ACB7DF-CF30-4668-88BF-408516A9A742}"/>
    <cellStyle name="Normal 2 11 3" xfId="1844" xr:uid="{783999FE-24AD-42C4-9760-46E8091D4CD2}"/>
    <cellStyle name="Normal 2 11 3 2" xfId="2682" xr:uid="{9E8F8C7D-DE58-4371-AB40-92ABC3D5F7E4}"/>
    <cellStyle name="Normal 2 11 4" xfId="2385" xr:uid="{A7EAE794-DD64-4738-BA0D-3AEA1FAA70F9}"/>
    <cellStyle name="Normal 2 2" xfId="520" xr:uid="{00000000-0005-0000-0000-0000A9010000}"/>
    <cellStyle name="Normal 2 2 2" xfId="1324" xr:uid="{440E61A6-D114-4498-8A62-FE4743CBC8CC}"/>
    <cellStyle name="Normal 2 2 2 2" xfId="1325" xr:uid="{8E056E6E-D4E3-4CBC-9272-2E3638B23D98}"/>
    <cellStyle name="Normal 2 2 2 2 2" xfId="1326" xr:uid="{69770E35-0877-49B9-81D8-2A032C2E79F8}"/>
    <cellStyle name="Normal 2 2 2 3" xfId="1327" xr:uid="{E51CD154-6EA8-4068-BA14-9F71DF347268}"/>
    <cellStyle name="Normal 2 2 2 4" xfId="1328" xr:uid="{DD1D02F3-CE0E-4B20-B3AE-563F45FFE7BF}"/>
    <cellStyle name="Normal 2 2 3" xfId="1329" xr:uid="{FC0B84B6-4649-46FC-85E3-C5F88C587510}"/>
    <cellStyle name="Normal 2 2 3 2" xfId="1330" xr:uid="{82ADC68B-C7AC-41C0-B429-D13DD9B8F563}"/>
    <cellStyle name="Normal 2 2 4" xfId="1331" xr:uid="{328300A0-5858-4DC5-B96F-958B287F1411}"/>
    <cellStyle name="Normal 2 2 5" xfId="1332" xr:uid="{42817161-C1BC-4B90-8F30-FAE9A81E16B9}"/>
    <cellStyle name="Normal 2 2 6" xfId="1323" xr:uid="{854D27E5-8DF0-418E-A52C-84028AF27982}"/>
    <cellStyle name="Normal 2 2_Incentive Updates" xfId="1333" xr:uid="{D7F518FA-12C8-44A8-A0E3-95BDAB53B643}"/>
    <cellStyle name="Normal 2 3" xfId="1334" xr:uid="{7571AE75-88E3-45DC-9CB3-5D72C835B3FF}"/>
    <cellStyle name="Normal 2 3 2" xfId="1335" xr:uid="{460C43DB-14EB-4636-9CF7-B7CDD97613A2}"/>
    <cellStyle name="Normal 2 4" xfId="1336" xr:uid="{3FBC9465-6E81-437F-907C-C44600243516}"/>
    <cellStyle name="Normal 2 4 2" xfId="1337" xr:uid="{FC69AB2D-2BFC-426B-9C87-BE5D4C8EDE56}"/>
    <cellStyle name="Normal 2 4 2 2" xfId="1338" xr:uid="{0072D93B-8B64-401C-9042-1127612E5758}"/>
    <cellStyle name="Normal 2 4 2 3" xfId="1339" xr:uid="{6DA3253F-651A-4AEF-9F3A-B004103C0ADD}"/>
    <cellStyle name="Normal 2 4 3" xfId="1340" xr:uid="{AC6B05D2-7196-404C-B643-1D3842063C9F}"/>
    <cellStyle name="Normal 2 5" xfId="1341" xr:uid="{54483A6D-6E48-422A-82BA-DD43A805E484}"/>
    <cellStyle name="Normal 2 6" xfId="1342" xr:uid="{B75F88DA-7D73-40CB-931B-3F82F4A295C8}"/>
    <cellStyle name="Normal 2 6 2" xfId="1343" xr:uid="{F22FFACB-72AA-476A-A68C-1FBFCFA15FCE}"/>
    <cellStyle name="Normal 2 7" xfId="1344" xr:uid="{F601867D-D49F-4AF5-BBED-2FBFC122E281}"/>
    <cellStyle name="Normal 2 7 2" xfId="1345" xr:uid="{CDF51051-7ED9-4527-A22E-0218C78A7C2E}"/>
    <cellStyle name="Normal 2 8" xfId="1346" xr:uid="{44212F5D-36BF-4DBC-AC3D-6F9196A9064F}"/>
    <cellStyle name="Normal 2 8 2" xfId="1347" xr:uid="{73CE16AF-8A7E-48D9-96C7-8C8DDE94F756}"/>
    <cellStyle name="Normal 2 9" xfId="1348" xr:uid="{6187A4AB-9843-4B4D-9CF4-041BFEC6CC28}"/>
    <cellStyle name="Normal 2_Incentive Updates" xfId="1349" xr:uid="{DF0D565E-D57C-412A-9FC4-D85F77571D78}"/>
    <cellStyle name="Normal 20" xfId="423" xr:uid="{00000000-0005-0000-0000-0000AA010000}"/>
    <cellStyle name="Normal 20 2" xfId="623" xr:uid="{00000000-0005-0000-0000-0000AB010000}"/>
    <cellStyle name="Normal 20 2 2" xfId="834" xr:uid="{00000000-0005-0000-0000-0000AC010000}"/>
    <cellStyle name="Normal 20 2 2 2" xfId="2962" xr:uid="{028CA2B7-A0E8-470B-BCEC-462FEE0979BB}"/>
    <cellStyle name="Normal 20 2 2 3" xfId="2124" xr:uid="{169EB7EC-60EA-4449-8AAA-2BBA501DFD3C}"/>
    <cellStyle name="Normal 20 2 3" xfId="2388" xr:uid="{BB414916-797E-4DA0-B6E5-C48AF6F117D0}"/>
    <cellStyle name="Normal 20 2 4" xfId="1351" xr:uid="{38BAB4FA-DBFB-4A24-AC7F-71CFFD4EB269}"/>
    <cellStyle name="Normal 20 3" xfId="728" xr:uid="{00000000-0005-0000-0000-0000AD010000}"/>
    <cellStyle name="Normal 20 3 2" xfId="2792" xr:uid="{2289E143-5F1A-4D0E-9750-2160A421F150}"/>
    <cellStyle name="Normal 20 3 3" xfId="1954" xr:uid="{72E24B07-FEC6-44DF-B30C-C6B1BF7B9765}"/>
    <cellStyle name="Normal 20 4" xfId="2387" xr:uid="{D696C344-F064-451F-854E-ADBEC68ED8D4}"/>
    <cellStyle name="Normal 20 5" xfId="1350" xr:uid="{80F78A6F-7B63-4875-ABA9-ABF5ABAFA689}"/>
    <cellStyle name="Normal 206" xfId="3042" xr:uid="{53B73A54-29E0-42DD-9F71-0FA14AE14D91}"/>
    <cellStyle name="Normal 21" xfId="528" xr:uid="{00000000-0005-0000-0000-0000AE010000}"/>
    <cellStyle name="Normal 21 2" xfId="782" xr:uid="{00000000-0005-0000-0000-0000AF010000}"/>
    <cellStyle name="Normal 21 2 2" xfId="2125" xr:uid="{9DEEC1D2-5936-4006-AF1F-686B5651DD4F}"/>
    <cellStyle name="Normal 21 2 2 2" xfId="2963" xr:uid="{358C2762-F0D1-45DF-B49E-717DCEEFAEEC}"/>
    <cellStyle name="Normal 21 2 3" xfId="2390" xr:uid="{91CE1401-BE1F-45BF-A152-56FA5AFA48C7}"/>
    <cellStyle name="Normal 21 2 4" xfId="1353" xr:uid="{7DD5D63B-E42A-45A2-8B1F-BFD010A2AFCD}"/>
    <cellStyle name="Normal 21 3" xfId="1955" xr:uid="{600D905C-D79A-48BF-97C0-7952719E8ECF}"/>
    <cellStyle name="Normal 21 3 2" xfId="2793" xr:uid="{64CB2E86-D41C-4B35-93AE-3ABD982EEEFE}"/>
    <cellStyle name="Normal 21 4" xfId="2389" xr:uid="{1A457300-7421-4804-8D1C-D2C75AD26C19}"/>
    <cellStyle name="Normal 21 5" xfId="1352" xr:uid="{C4E9EFBD-D3E7-4156-986A-830FD7DEB25D}"/>
    <cellStyle name="Normal 22" xfId="676" xr:uid="{00000000-0005-0000-0000-0000B0010000}"/>
    <cellStyle name="Normal 22 2" xfId="887" xr:uid="{00000000-0005-0000-0000-0000B1010000}"/>
    <cellStyle name="Normal 22 2 2" xfId="2126" xr:uid="{94C050F5-A7B2-4C5E-86F8-E082A86A7FF2}"/>
    <cellStyle name="Normal 22 2 2 2" xfId="2964" xr:uid="{366B61FB-10FC-4B99-A0A9-E268DEB3DFD9}"/>
    <cellStyle name="Normal 22 2 3" xfId="2392" xr:uid="{E83A219D-4400-493C-8A05-E344A27580D9}"/>
    <cellStyle name="Normal 22 2 4" xfId="1355" xr:uid="{CAE9DF9A-0F53-4FD4-87E4-9FEBF4FCC933}"/>
    <cellStyle name="Normal 22 3" xfId="1956" xr:uid="{0A17F3A3-886B-42F6-A667-28C933F3176F}"/>
    <cellStyle name="Normal 22 3 2" xfId="2794" xr:uid="{A042C05D-6080-40D8-8BDB-AA3C083E144C}"/>
    <cellStyle name="Normal 22 4" xfId="2391" xr:uid="{8172BACF-4EBF-49DD-96A1-E3EF1FCD0A27}"/>
    <cellStyle name="Normal 22 5" xfId="1354" xr:uid="{7A2D3203-3B34-4E82-B9B3-C79CBECC613C}"/>
    <cellStyle name="Normal 23" xfId="527" xr:uid="{00000000-0005-0000-0000-0000B2010000}"/>
    <cellStyle name="Normal 23 2" xfId="781" xr:uid="{00000000-0005-0000-0000-0000B3010000}"/>
    <cellStyle name="Normal 23 2 2" xfId="2127" xr:uid="{CE90156C-2C95-473B-A346-CEA87CF8F849}"/>
    <cellStyle name="Normal 23 2 2 2" xfId="2965" xr:uid="{BD159E88-6725-4195-B34A-8689FF04DB23}"/>
    <cellStyle name="Normal 23 2 3" xfId="2394" xr:uid="{05B91AC1-61A5-4480-8FF3-DA4F87F269A4}"/>
    <cellStyle name="Normal 23 2 4" xfId="1357" xr:uid="{9C686519-B3CD-43C4-9470-B4BE992CA98E}"/>
    <cellStyle name="Normal 23 3" xfId="1957" xr:uid="{3EAB5E34-AC6D-4489-9CC0-584BBC157D23}"/>
    <cellStyle name="Normal 23 3 2" xfId="2795" xr:uid="{25292699-2F30-4E41-9A4B-AF7181E133EF}"/>
    <cellStyle name="Normal 23 4" xfId="2393" xr:uid="{CE0FBA6F-460C-4DA9-8588-806D4FDDF239}"/>
    <cellStyle name="Normal 23 5" xfId="1356" xr:uid="{F9F1A23E-B674-4C89-A948-C50929D25E12}"/>
    <cellStyle name="Normal 24" xfId="888" xr:uid="{9C89C772-0D88-4EE7-B0FE-2578499CD212}"/>
    <cellStyle name="Normal 24 2" xfId="1359" xr:uid="{B0B9420A-D2BC-45A7-B9BB-5B3C47B1B2EC}"/>
    <cellStyle name="Normal 24 2 2" xfId="2128" xr:uid="{8786A9EC-945B-497F-9077-096EC9C8B23F}"/>
    <cellStyle name="Normal 24 2 2 2" xfId="2966" xr:uid="{18AD1764-F88B-4C64-BBFA-68DF585504C4}"/>
    <cellStyle name="Normal 24 2 3" xfId="2396" xr:uid="{06B09A4F-BE22-49C8-9E00-950EAD5A6EB3}"/>
    <cellStyle name="Normal 24 3" xfId="1958" xr:uid="{5A078C6E-8CBC-420B-A4D5-B1BC2731A8C7}"/>
    <cellStyle name="Normal 24 3 2" xfId="2796" xr:uid="{29B42199-9B35-475C-826C-37C07583E2ED}"/>
    <cellStyle name="Normal 24 4" xfId="2395" xr:uid="{C1F5721B-0063-4118-8D42-FFDE4016C75E}"/>
    <cellStyle name="Normal 24 5" xfId="1358" xr:uid="{6610B6C5-9C18-4469-8A25-748B600F0E4A}"/>
    <cellStyle name="Normal 25" xfId="892" xr:uid="{68006706-7F3A-4028-8E01-529886742ED7}"/>
    <cellStyle name="Normal 25 2" xfId="2967" xr:uid="{F82BFECA-AD3A-472B-925A-977DFB79C09B}"/>
    <cellStyle name="Normal 26" xfId="2129" xr:uid="{1C43A721-B051-4254-9E3D-D6AF18C32F81}"/>
    <cellStyle name="Normal 27" xfId="2172" xr:uid="{36520028-2908-4756-BB66-0C08F2B9715E}"/>
    <cellStyle name="Normal 28" xfId="2143" xr:uid="{0966DCF3-83EC-4692-9616-FECEED1FC19D}"/>
    <cellStyle name="Normal 28 2" xfId="2269" xr:uid="{85436D53-DF83-4D9D-9232-9F47D4D8C51E}"/>
    <cellStyle name="Normal 28 3" xfId="2981" xr:uid="{EB3B4E19-3EDC-4A54-9C43-3A726FCD7092}"/>
    <cellStyle name="Normal 29" xfId="2152" xr:uid="{A012791C-C781-4D42-9A1D-7431DF51D819}"/>
    <cellStyle name="Normal 29 2" xfId="2990" xr:uid="{5BF2F6E7-272B-4FBB-A748-5A7414CCE214}"/>
    <cellStyle name="Normal 3" xfId="146" xr:uid="{00000000-0005-0000-0000-0000B4010000}"/>
    <cellStyle name="Normal 3 2" xfId="192" xr:uid="{00000000-0005-0000-0000-0000B5010000}"/>
    <cellStyle name="Normal 3 2 2" xfId="1362" xr:uid="{E95BF138-EC8B-4126-BAA7-BAE315DE79F1}"/>
    <cellStyle name="Normal 3 2 3" xfId="1361" xr:uid="{E450A9F4-BF8A-471E-9C0C-2A21DA9EB966}"/>
    <cellStyle name="Normal 3 3" xfId="1363" xr:uid="{DE21BD80-D77D-4A5D-9E1B-FF501AD6D10D}"/>
    <cellStyle name="Normal 3 3 10" xfId="2398" xr:uid="{EE8A4F57-DAFC-4A5B-B2AB-B8BFA324BC1D}"/>
    <cellStyle name="Normal 3 3 2" xfId="1364" xr:uid="{0F83188D-59F6-4F7A-AE49-7DC3F10550E6}"/>
    <cellStyle name="Normal 3 3 2 2" xfId="1365" xr:uid="{759834E5-12CC-47CE-A1C3-132783DEFB71}"/>
    <cellStyle name="Normal 3 3 2 2 2" xfId="1366" xr:uid="{F99A84C1-C501-4189-A6A3-A81994771517}"/>
    <cellStyle name="Normal 3 3 2 2 2 2" xfId="1367" xr:uid="{371D3141-20FA-4006-A815-1E1D435254BB}"/>
    <cellStyle name="Normal 3 3 2 2 2 2 2" xfId="1368" xr:uid="{A716884D-5D18-41E8-BD3B-948CE8769A36}"/>
    <cellStyle name="Normal 3 3 2 2 2 2 2 2" xfId="2019" xr:uid="{CC681084-04D9-4625-B9D0-6D28BA7DD76C}"/>
    <cellStyle name="Normal 3 3 2 2 2 2 2 2 2" xfId="2857" xr:uid="{F33313BF-A1C2-45DE-968A-10C828A47155}"/>
    <cellStyle name="Normal 3 3 2 2 2 2 2 3" xfId="2403" xr:uid="{40FB1E3D-79C0-4741-90A1-776097BFC2BF}"/>
    <cellStyle name="Normal 3 3 2 2 2 2 3" xfId="1849" xr:uid="{D30F4E70-3860-463F-8105-71D29D781F0C}"/>
    <cellStyle name="Normal 3 3 2 2 2 2 3 2" xfId="2687" xr:uid="{C7CCC6EA-161F-4F25-AC1F-F1F82C3FB49D}"/>
    <cellStyle name="Normal 3 3 2 2 2 2 4" xfId="2402" xr:uid="{F74A138B-AB39-4613-8474-46BAEE1290CA}"/>
    <cellStyle name="Normal 3 3 2 2 2 3" xfId="1369" xr:uid="{D91A1FA0-A59F-4F1B-8CFD-9832E7F4E2FB}"/>
    <cellStyle name="Normal 3 3 2 2 2 3 2" xfId="1370" xr:uid="{804BBE95-326C-4AF0-A23E-F7A73099862D}"/>
    <cellStyle name="Normal 3 3 2 2 2 3 2 2" xfId="2020" xr:uid="{0439F8B8-494F-4333-83E6-2220EECF78ED}"/>
    <cellStyle name="Normal 3 3 2 2 2 3 2 2 2" xfId="2858" xr:uid="{17BD0197-01C1-4BC5-A33F-2E4CEF9DFF5D}"/>
    <cellStyle name="Normal 3 3 2 2 2 3 2 3" xfId="2405" xr:uid="{4559754D-F333-4590-A20D-56169282588D}"/>
    <cellStyle name="Normal 3 3 2 2 2 3 3" xfId="1850" xr:uid="{292991B7-DAE1-4619-8C3C-D5656DA5BD4D}"/>
    <cellStyle name="Normal 3 3 2 2 2 3 3 2" xfId="2688" xr:uid="{1A2507BD-0F97-4C8D-A19B-20D0D1BC7FE1}"/>
    <cellStyle name="Normal 3 3 2 2 2 3 4" xfId="2404" xr:uid="{B959B3A4-0E50-46BC-820E-F2B82706E62B}"/>
    <cellStyle name="Normal 3 3 2 2 2 4" xfId="1371" xr:uid="{9798BBFF-3C80-40DE-B5A4-0C235F7E6AB3}"/>
    <cellStyle name="Normal 3 3 2 2 2 4 2" xfId="2018" xr:uid="{6B9627F1-F829-4665-A0A1-0020F9FF01FA}"/>
    <cellStyle name="Normal 3 3 2 2 2 4 2 2" xfId="2856" xr:uid="{EC658A6D-EE36-44D2-A719-293B0A8C7578}"/>
    <cellStyle name="Normal 3 3 2 2 2 4 3" xfId="2406" xr:uid="{9E5AC42B-93D4-476F-8ACC-76D522E6E32A}"/>
    <cellStyle name="Normal 3 3 2 2 2 5" xfId="1848" xr:uid="{74098714-4C35-41FA-93B3-AE0A5BB7F900}"/>
    <cellStyle name="Normal 3 3 2 2 2 5 2" xfId="2686" xr:uid="{1A0F5E51-98B6-4D35-AC28-8F667A72F635}"/>
    <cellStyle name="Normal 3 3 2 2 2 6" xfId="2401" xr:uid="{9D6052A4-D843-4ECC-9177-706255903C7F}"/>
    <cellStyle name="Normal 3 3 2 2 3" xfId="1372" xr:uid="{A234CFF2-1C2D-455C-B337-B8C750DFE4F6}"/>
    <cellStyle name="Normal 3 3 2 2 3 2" xfId="1373" xr:uid="{460CD82E-016B-4F11-9D12-547AC6328CB0}"/>
    <cellStyle name="Normal 3 3 2 2 3 2 2" xfId="2021" xr:uid="{F890D85A-D80D-459B-AC59-6DAA10193A57}"/>
    <cellStyle name="Normal 3 3 2 2 3 2 2 2" xfId="2859" xr:uid="{6131104A-87B9-4FF1-90C7-3B44282CE61F}"/>
    <cellStyle name="Normal 3 3 2 2 3 2 3" xfId="2408" xr:uid="{6C1DC172-272F-49CE-ADFA-7E95F2EC58A4}"/>
    <cellStyle name="Normal 3 3 2 2 3 3" xfId="1851" xr:uid="{B3750FF9-4B38-471A-B9D4-CA5F2D1DD922}"/>
    <cellStyle name="Normal 3 3 2 2 3 3 2" xfId="2689" xr:uid="{B82228E5-520A-4196-85D9-FC4EECF36A2C}"/>
    <cellStyle name="Normal 3 3 2 2 3 4" xfId="2407" xr:uid="{2AEE3396-13CD-4EE5-9772-8235453B8FBA}"/>
    <cellStyle name="Normal 3 3 2 2 4" xfId="1374" xr:uid="{558838AD-B891-49C0-A44B-54549CF34381}"/>
    <cellStyle name="Normal 3 3 2 2 4 2" xfId="1375" xr:uid="{5254FD7B-D465-46CE-B9A6-41ED4C2DA124}"/>
    <cellStyle name="Normal 3 3 2 2 4 2 2" xfId="2022" xr:uid="{78AF0C9B-DE1B-438A-8C88-36B13A71A532}"/>
    <cellStyle name="Normal 3 3 2 2 4 2 2 2" xfId="2860" xr:uid="{0992A183-4699-4881-AAB2-9F190CA9920F}"/>
    <cellStyle name="Normal 3 3 2 2 4 2 3" xfId="2410" xr:uid="{34A32F75-92FE-44F2-8106-8BDD3FF5E011}"/>
    <cellStyle name="Normal 3 3 2 2 4 3" xfId="1852" xr:uid="{030906E1-6E0C-4E19-ACFF-939F40039A85}"/>
    <cellStyle name="Normal 3 3 2 2 4 3 2" xfId="2690" xr:uid="{6D7C394A-5C3F-49D1-8F47-53DD08AABC81}"/>
    <cellStyle name="Normal 3 3 2 2 4 4" xfId="2409" xr:uid="{84FE2ADC-35B4-43CD-8801-3C1D49226BAD}"/>
    <cellStyle name="Normal 3 3 2 2 5" xfId="1376" xr:uid="{694FFB08-A071-4D2C-B896-E6BFB2D9FDF2}"/>
    <cellStyle name="Normal 3 3 2 2 5 2" xfId="2017" xr:uid="{4B3319FF-960C-4C40-84D1-97CD0224EF26}"/>
    <cellStyle name="Normal 3 3 2 2 5 2 2" xfId="2855" xr:uid="{EDDECF2E-9D1B-442F-BA2A-E7CB97B041A6}"/>
    <cellStyle name="Normal 3 3 2 2 5 3" xfId="2411" xr:uid="{F650DBB1-F924-47EC-8D81-C8A3D306BEA9}"/>
    <cellStyle name="Normal 3 3 2 2 6" xfId="1847" xr:uid="{22F26185-5F0B-4C2E-8B2A-8B3E209E212B}"/>
    <cellStyle name="Normal 3 3 2 2 6 2" xfId="2685" xr:uid="{6778674C-94B4-4062-9B1E-D8114BECF793}"/>
    <cellStyle name="Normal 3 3 2 2 7" xfId="2400" xr:uid="{B8874235-9249-4B55-B278-615063BFD6A3}"/>
    <cellStyle name="Normal 3 3 2 3" xfId="1377" xr:uid="{9E646299-9071-47CE-875C-CB9F718A87E3}"/>
    <cellStyle name="Normal 3 3 2 3 2" xfId="1378" xr:uid="{5971A4E9-CE60-4BAF-848E-A2C0C974ABC8}"/>
    <cellStyle name="Normal 3 3 2 3 2 2" xfId="1379" xr:uid="{0C4EF543-A86D-49F0-9D60-37D86F9AC571}"/>
    <cellStyle name="Normal 3 3 2 3 2 2 2" xfId="2024" xr:uid="{622EBD24-C6BF-40A3-919C-C345CD80652F}"/>
    <cellStyle name="Normal 3 3 2 3 2 2 2 2" xfId="2862" xr:uid="{4DE4427F-4AD1-40D0-85BE-B1B7B66F1823}"/>
    <cellStyle name="Normal 3 3 2 3 2 2 3" xfId="2414" xr:uid="{40D807B2-00B1-4DD6-9298-7633C57B9C3F}"/>
    <cellStyle name="Normal 3 3 2 3 2 3" xfId="1854" xr:uid="{CB6F9962-FE52-46B5-AC4B-0BF8780077E3}"/>
    <cellStyle name="Normal 3 3 2 3 2 3 2" xfId="2692" xr:uid="{30A03748-AF51-4C46-9815-FDB5E1BF8369}"/>
    <cellStyle name="Normal 3 3 2 3 2 4" xfId="2413" xr:uid="{7A6D1666-9648-42A7-AC88-77972A58FBF3}"/>
    <cellStyle name="Normal 3 3 2 3 3" xfId="1380" xr:uid="{F6C2FBA6-EAF3-4873-AB26-5A40827081E1}"/>
    <cellStyle name="Normal 3 3 2 3 3 2" xfId="1381" xr:uid="{81E4CBD5-D859-45ED-92E5-0D4C865BEE2C}"/>
    <cellStyle name="Normal 3 3 2 3 3 2 2" xfId="2025" xr:uid="{05D37E65-D135-4D09-B980-81C8158AFF78}"/>
    <cellStyle name="Normal 3 3 2 3 3 2 2 2" xfId="2863" xr:uid="{7CED1F02-CB70-436E-B661-E06EDB06714E}"/>
    <cellStyle name="Normal 3 3 2 3 3 2 3" xfId="2416" xr:uid="{FCC0642B-1893-450F-B0D0-12F23CD024E9}"/>
    <cellStyle name="Normal 3 3 2 3 3 3" xfId="1855" xr:uid="{FC30AD62-46E4-4415-9080-14FA74A8FD3B}"/>
    <cellStyle name="Normal 3 3 2 3 3 3 2" xfId="2693" xr:uid="{AD6C90D9-AC05-4EF0-AFF1-0640321E6AA6}"/>
    <cellStyle name="Normal 3 3 2 3 3 4" xfId="2415" xr:uid="{C64228C9-551A-4644-80FF-CFB09AA9E5AD}"/>
    <cellStyle name="Normal 3 3 2 3 4" xfId="1382" xr:uid="{9A8FAC42-F61A-4F8A-B54C-5F576BC2168C}"/>
    <cellStyle name="Normal 3 3 2 3 4 2" xfId="2023" xr:uid="{9FBB4BC7-0355-43DC-9F93-0171F73DB762}"/>
    <cellStyle name="Normal 3 3 2 3 4 2 2" xfId="2861" xr:uid="{9BA7ABA5-3356-4BB9-940C-39D82CAC4D5E}"/>
    <cellStyle name="Normal 3 3 2 3 4 3" xfId="2417" xr:uid="{1B08934E-3BC1-4031-B3F4-1475FC4A1A33}"/>
    <cellStyle name="Normal 3 3 2 3 5" xfId="1853" xr:uid="{9C65F635-5E9D-499D-9153-18F3A47E9B6E}"/>
    <cellStyle name="Normal 3 3 2 3 5 2" xfId="2691" xr:uid="{7727E666-B809-476D-B1C8-FABF24DFADB1}"/>
    <cellStyle name="Normal 3 3 2 3 6" xfId="2412" xr:uid="{B9C594A7-0C53-4361-9AD9-65C2E7B033BB}"/>
    <cellStyle name="Normal 3 3 2 4" xfId="1383" xr:uid="{0F19C2C0-6E4D-4772-8918-8CA18A7B3711}"/>
    <cellStyle name="Normal 3 3 2 4 2" xfId="1384" xr:uid="{19D776C1-8855-4909-868A-0F9451498F46}"/>
    <cellStyle name="Normal 3 3 2 4 2 2" xfId="2026" xr:uid="{76412578-90D6-4D5E-8697-53219052C296}"/>
    <cellStyle name="Normal 3 3 2 4 2 2 2" xfId="2864" xr:uid="{5B52B92D-31BB-44EA-8328-7F035AF28FE1}"/>
    <cellStyle name="Normal 3 3 2 4 2 3" xfId="2419" xr:uid="{E1A1F1D1-F1F2-4C72-932B-4C6E7AE35F3F}"/>
    <cellStyle name="Normal 3 3 2 4 3" xfId="1856" xr:uid="{D1FEC553-A1B0-4DC3-A991-D91157B3F9DA}"/>
    <cellStyle name="Normal 3 3 2 4 3 2" xfId="2694" xr:uid="{7E416316-F6F2-495C-B81D-C65859CC9E40}"/>
    <cellStyle name="Normal 3 3 2 4 4" xfId="2418" xr:uid="{D5ECD61F-6467-4E80-95C9-5D4CB13401A4}"/>
    <cellStyle name="Normal 3 3 2 5" xfId="1385" xr:uid="{12532105-58D3-49AF-9BC8-CDDDDDF81BC6}"/>
    <cellStyle name="Normal 3 3 2 5 2" xfId="1386" xr:uid="{49AB1983-DBDF-4870-ADA5-6D8EDF254443}"/>
    <cellStyle name="Normal 3 3 2 5 2 2" xfId="2027" xr:uid="{0BD12298-816D-4957-B9AB-7EB556C17262}"/>
    <cellStyle name="Normal 3 3 2 5 2 2 2" xfId="2865" xr:uid="{A430D704-F896-497A-88F4-A7A46619E113}"/>
    <cellStyle name="Normal 3 3 2 5 2 3" xfId="2421" xr:uid="{A238F1B8-F5A1-4B61-BE01-130FAB7EB180}"/>
    <cellStyle name="Normal 3 3 2 5 3" xfId="1857" xr:uid="{E922040E-B319-4E1D-AB1A-3385045323B1}"/>
    <cellStyle name="Normal 3 3 2 5 3 2" xfId="2695" xr:uid="{4A7AA488-8438-4AB7-ACD2-7FFF3E3E804D}"/>
    <cellStyle name="Normal 3 3 2 5 4" xfId="2420" xr:uid="{BF628853-D550-4E12-A984-3F6B70FB361B}"/>
    <cellStyle name="Normal 3 3 2 6" xfId="1387" xr:uid="{5BB219D4-D48F-4498-B91C-A7F16D48247B}"/>
    <cellStyle name="Normal 3 3 2 6 2" xfId="2016" xr:uid="{9905FAB7-2B27-4EA8-AD42-55ED7182DC33}"/>
    <cellStyle name="Normal 3 3 2 6 2 2" xfId="2854" xr:uid="{7CEA0144-721C-45AB-9D0C-85E0D6F55EAA}"/>
    <cellStyle name="Normal 3 3 2 6 3" xfId="2422" xr:uid="{DF796354-4C57-412C-B9F4-627198409566}"/>
    <cellStyle name="Normal 3 3 2 7" xfId="1846" xr:uid="{6BDD0BF2-E45F-4E0A-BD10-A1E9C3B40713}"/>
    <cellStyle name="Normal 3 3 2 7 2" xfId="2684" xr:uid="{7B7DBCF5-5107-4509-8D53-EE9EA18B6B10}"/>
    <cellStyle name="Normal 3 3 2 8" xfId="2399" xr:uid="{E5E68E8B-5AB2-480E-8AA3-9EBFF56075C8}"/>
    <cellStyle name="Normal 3 3 3" xfId="1388" xr:uid="{0CC65822-6018-4AD3-BEED-50B108768825}"/>
    <cellStyle name="Normal 3 3 3 2" xfId="1389" xr:uid="{B345805B-BE29-4320-B23D-2CF59B80C1D1}"/>
    <cellStyle name="Normal 3 3 3 2 2" xfId="1390" xr:uid="{2E1CECD1-05D0-4658-AC67-93CF9F2E7544}"/>
    <cellStyle name="Normal 3 3 3 2 2 2" xfId="1391" xr:uid="{EF5E57FD-207F-4D76-9618-4DB94125D63F}"/>
    <cellStyle name="Normal 3 3 3 2 2 2 2" xfId="2030" xr:uid="{550C94AB-C523-4C67-9316-705C9A62EBEA}"/>
    <cellStyle name="Normal 3 3 3 2 2 2 2 2" xfId="2868" xr:uid="{E6A62025-7119-4CE5-B580-C5195A05AAF3}"/>
    <cellStyle name="Normal 3 3 3 2 2 2 3" xfId="2426" xr:uid="{395D0B2B-CC10-44EF-87F1-B6016282C20A}"/>
    <cellStyle name="Normal 3 3 3 2 2 3" xfId="1860" xr:uid="{66A1C5AF-BE81-4661-ACEF-FA20ED04C7B2}"/>
    <cellStyle name="Normal 3 3 3 2 2 3 2" xfId="2698" xr:uid="{F798B1E1-E16A-41C9-9006-D8FA9D43D97E}"/>
    <cellStyle name="Normal 3 3 3 2 2 4" xfId="2425" xr:uid="{454470E2-1D82-43E9-876C-A18D007F2B3B}"/>
    <cellStyle name="Normal 3 3 3 2 3" xfId="1392" xr:uid="{C0AEAA8D-ACF9-42AD-9D74-60113D77D974}"/>
    <cellStyle name="Normal 3 3 3 2 3 2" xfId="1393" xr:uid="{86B77B54-7DA7-4C48-ADF5-E9627230FD7C}"/>
    <cellStyle name="Normal 3 3 3 2 3 2 2" xfId="2031" xr:uid="{3BC38A8C-B6D4-49B4-850A-8D0277C90846}"/>
    <cellStyle name="Normal 3 3 3 2 3 2 2 2" xfId="2869" xr:uid="{4A4CF0BD-3E23-45FE-ACCA-8A46082EFB2F}"/>
    <cellStyle name="Normal 3 3 3 2 3 2 3" xfId="2428" xr:uid="{AD9E1390-C0F9-439D-942B-6C0CC94BAD72}"/>
    <cellStyle name="Normal 3 3 3 2 3 3" xfId="1861" xr:uid="{20541832-2B18-4F4B-A48D-B402CC58A4C1}"/>
    <cellStyle name="Normal 3 3 3 2 3 3 2" xfId="2699" xr:uid="{A8D329B8-30CE-4E9A-B2DA-179CAF57AFE0}"/>
    <cellStyle name="Normal 3 3 3 2 3 4" xfId="2427" xr:uid="{ECA72615-EB3A-47CF-A092-0D2D656471F0}"/>
    <cellStyle name="Normal 3 3 3 2 4" xfId="1394" xr:uid="{C2B78745-F30F-4956-B81F-AC5714F8853A}"/>
    <cellStyle name="Normal 3 3 3 2 4 2" xfId="2029" xr:uid="{6B1AA520-7702-4AE5-BD72-5CC570389C94}"/>
    <cellStyle name="Normal 3 3 3 2 4 2 2" xfId="2867" xr:uid="{943266A9-52E9-431F-B60B-257E8A8E28E7}"/>
    <cellStyle name="Normal 3 3 3 2 4 3" xfId="2429" xr:uid="{C935C4C2-0808-4228-B207-F70C348BF360}"/>
    <cellStyle name="Normal 3 3 3 2 5" xfId="1859" xr:uid="{FAA60FC3-FCDB-44F1-A024-494A1A71947A}"/>
    <cellStyle name="Normal 3 3 3 2 5 2" xfId="2697" xr:uid="{B2E6B3E8-4FFB-4B58-8340-BE41D06C4338}"/>
    <cellStyle name="Normal 3 3 3 2 6" xfId="2424" xr:uid="{BD724376-33AB-46C7-8556-2ACBACC54D87}"/>
    <cellStyle name="Normal 3 3 3 3" xfId="1395" xr:uid="{ABF5A777-E298-4F3F-81BF-6D81D22425DB}"/>
    <cellStyle name="Normal 3 3 3 3 2" xfId="1396" xr:uid="{023CBD84-C0DC-48AB-81D7-5DACAF5EA25A}"/>
    <cellStyle name="Normal 3 3 3 3 2 2" xfId="2032" xr:uid="{9C113D9A-1ADB-4654-B1D4-309365077908}"/>
    <cellStyle name="Normal 3 3 3 3 2 2 2" xfId="2870" xr:uid="{9FDB09DE-C31E-4202-B469-DF10A5E3A6A6}"/>
    <cellStyle name="Normal 3 3 3 3 2 3" xfId="2431" xr:uid="{6736E1B7-5F31-40AE-B49A-6CE381573624}"/>
    <cellStyle name="Normal 3 3 3 3 3" xfId="1862" xr:uid="{BD96C497-2099-4EED-AB7E-A7F04C07BC08}"/>
    <cellStyle name="Normal 3 3 3 3 3 2" xfId="2700" xr:uid="{451C3D7B-96D5-4131-8F7E-A85808D0292A}"/>
    <cellStyle name="Normal 3 3 3 3 4" xfId="2430" xr:uid="{A5BCB04E-D70E-4BB0-B10A-BB65972E7B29}"/>
    <cellStyle name="Normal 3 3 3 4" xfId="1397" xr:uid="{40BD5AE2-3EBE-4349-BF30-979A77A63EE8}"/>
    <cellStyle name="Normal 3 3 3 4 2" xfId="1398" xr:uid="{10EEEA97-B10D-4341-BCEB-067984293A34}"/>
    <cellStyle name="Normal 3 3 3 4 2 2" xfId="2033" xr:uid="{9CA62220-2C57-44C3-B214-04D21803E4E0}"/>
    <cellStyle name="Normal 3 3 3 4 2 2 2" xfId="2871" xr:uid="{01F7842F-B05F-4314-BC6B-1652097BA9A1}"/>
    <cellStyle name="Normal 3 3 3 4 2 3" xfId="2433" xr:uid="{1BE9D149-0876-4D3B-9302-153A8DE0EE07}"/>
    <cellStyle name="Normal 3 3 3 4 3" xfId="1863" xr:uid="{C570D1D8-2225-457A-96CB-A21D9BEE642B}"/>
    <cellStyle name="Normal 3 3 3 4 3 2" xfId="2701" xr:uid="{8014204A-1F6B-4B38-AC9F-BE6AD705BFF2}"/>
    <cellStyle name="Normal 3 3 3 4 4" xfId="2432" xr:uid="{56DA3CAC-4A9A-4776-9A77-0D1CA609C84F}"/>
    <cellStyle name="Normal 3 3 3 5" xfId="1399" xr:uid="{2FD49DC2-8403-458F-9495-3E73A964CD30}"/>
    <cellStyle name="Normal 3 3 3 5 2" xfId="2028" xr:uid="{9D20D726-B842-45A3-B257-0F3C38CD7791}"/>
    <cellStyle name="Normal 3 3 3 5 2 2" xfId="2866" xr:uid="{6BE51D6A-5597-4B91-8E1A-C55BA69BC2B9}"/>
    <cellStyle name="Normal 3 3 3 5 3" xfId="2434" xr:uid="{CD7AC8E3-BFE9-4917-8755-91CA8F57B55C}"/>
    <cellStyle name="Normal 3 3 3 6" xfId="1858" xr:uid="{1F3B2A2B-BEE2-41A8-9892-7ADF7D2AC059}"/>
    <cellStyle name="Normal 3 3 3 6 2" xfId="2696" xr:uid="{EF5F2BC7-5C81-494B-A88A-8DFFC1203ACE}"/>
    <cellStyle name="Normal 3 3 3 7" xfId="2423" xr:uid="{56A04BB6-FB35-4914-91C2-D54F894C9F87}"/>
    <cellStyle name="Normal 3 3 4" xfId="1400" xr:uid="{29872488-CEAF-4C2C-93A6-44F222264F6A}"/>
    <cellStyle name="Normal 3 3 4 2" xfId="1401" xr:uid="{841D2281-2D89-4917-A61E-78EEE297ACD8}"/>
    <cellStyle name="Normal 3 3 4 2 2" xfId="1402" xr:uid="{78ABC845-D82D-4A48-AA17-B76E92CBFD5D}"/>
    <cellStyle name="Normal 3 3 4 2 2 2" xfId="2035" xr:uid="{FF942B22-9338-42F5-A179-4E56B1628873}"/>
    <cellStyle name="Normal 3 3 4 2 2 2 2" xfId="2873" xr:uid="{075A1E6F-0CC4-4401-9044-B22B7C274A5E}"/>
    <cellStyle name="Normal 3 3 4 2 2 3" xfId="2437" xr:uid="{0742E5C0-69C4-424A-8120-54366EAF181D}"/>
    <cellStyle name="Normal 3 3 4 2 3" xfId="1865" xr:uid="{0E495B2C-90D0-4009-94EF-EC301167B00F}"/>
    <cellStyle name="Normal 3 3 4 2 3 2" xfId="2703" xr:uid="{7D48FB6B-431E-42FD-BAED-E41DA294F96D}"/>
    <cellStyle name="Normal 3 3 4 2 4" xfId="2436" xr:uid="{B3C652F5-1485-4E28-B60E-A7C42A3E1AA0}"/>
    <cellStyle name="Normal 3 3 4 3" xfId="1403" xr:uid="{A5592C36-CB1F-44FB-8C6A-FC65247DA472}"/>
    <cellStyle name="Normal 3 3 4 3 2" xfId="1404" xr:uid="{A0772FB0-1E0D-4BF8-B349-9B855F668DAA}"/>
    <cellStyle name="Normal 3 3 4 3 2 2" xfId="2036" xr:uid="{3062394D-17C7-4FF2-8E7E-D375DBF096C4}"/>
    <cellStyle name="Normal 3 3 4 3 2 2 2" xfId="2874" xr:uid="{ED0D24A5-8DA6-4355-A708-27020363E5F3}"/>
    <cellStyle name="Normal 3 3 4 3 2 3" xfId="2439" xr:uid="{C1F648FC-3491-4D78-9A89-0ECCADFA62E1}"/>
    <cellStyle name="Normal 3 3 4 3 3" xfId="1866" xr:uid="{9F15135D-A294-49DC-8E42-0AE9EA58360F}"/>
    <cellStyle name="Normal 3 3 4 3 3 2" xfId="2704" xr:uid="{5027414D-5065-4A3F-8B0C-84A7DA1A1E80}"/>
    <cellStyle name="Normal 3 3 4 3 4" xfId="2438" xr:uid="{E9C082EB-1113-4281-A477-9A8EB0A9C642}"/>
    <cellStyle name="Normal 3 3 4 4" xfId="1405" xr:uid="{665917CD-2E1F-4E26-B8FF-F7C883159E4C}"/>
    <cellStyle name="Normal 3 3 4 4 2" xfId="2034" xr:uid="{79D50425-2DD0-4864-A2E2-1C7AB1809674}"/>
    <cellStyle name="Normal 3 3 4 4 2 2" xfId="2872" xr:uid="{094525CE-C14F-488B-A871-9C3B16D6254A}"/>
    <cellStyle name="Normal 3 3 4 4 3" xfId="2440" xr:uid="{62050D8D-BE12-41D5-828E-0359566B4F78}"/>
    <cellStyle name="Normal 3 3 4 5" xfId="1864" xr:uid="{2BA38CFC-E470-433E-89DB-19B166968F03}"/>
    <cellStyle name="Normal 3 3 4 5 2" xfId="2702" xr:uid="{D2EC385D-B0D6-4FC8-8141-96DAF805DFCE}"/>
    <cellStyle name="Normal 3 3 4 6" xfId="2435" xr:uid="{A8FFF776-9E46-423C-9D14-26A7E5F83A0D}"/>
    <cellStyle name="Normal 3 3 5" xfId="1406" xr:uid="{64513D89-4C41-427E-80C6-2EFE86A03ECA}"/>
    <cellStyle name="Normal 3 3 5 2" xfId="1407" xr:uid="{A31384D3-45D7-4925-8E49-5F2347F08324}"/>
    <cellStyle name="Normal 3 3 5 2 2" xfId="2037" xr:uid="{C3B00606-65B8-407F-9E6C-CCB43FB6F67F}"/>
    <cellStyle name="Normal 3 3 5 2 2 2" xfId="2875" xr:uid="{4167371A-27A7-4570-A701-9D0A70377591}"/>
    <cellStyle name="Normal 3 3 5 2 3" xfId="2442" xr:uid="{E66ADC8B-3B10-4BB5-8FD0-A017042AFC0E}"/>
    <cellStyle name="Normal 3 3 5 3" xfId="1867" xr:uid="{81E0B588-9032-4944-91A5-3CA4A913426A}"/>
    <cellStyle name="Normal 3 3 5 3 2" xfId="2705" xr:uid="{E8FCBC92-FD4E-4BFF-9C7E-B3D16879693F}"/>
    <cellStyle name="Normal 3 3 5 4" xfId="2441" xr:uid="{B52838F8-FAEC-4C00-9B0E-CE2CB7FE4336}"/>
    <cellStyle name="Normal 3 3 6" xfId="1408" xr:uid="{FD3D6FCF-34A8-411A-8BE3-AFE7EC5716BB}"/>
    <cellStyle name="Normal 3 3 6 2" xfId="1409" xr:uid="{33737B73-3DE7-4A4C-BF5E-DCBA06100E7C}"/>
    <cellStyle name="Normal 3 3 6 2 2" xfId="2038" xr:uid="{9B8E0CC8-EC71-4EC1-87CB-A41937DC0C15}"/>
    <cellStyle name="Normal 3 3 6 2 2 2" xfId="2876" xr:uid="{38ACBA66-E1B2-4311-B31C-A6D19EFCEBAA}"/>
    <cellStyle name="Normal 3 3 6 2 3" xfId="2444" xr:uid="{0B02FB7B-0676-4846-917E-9A93708FC029}"/>
    <cellStyle name="Normal 3 3 6 3" xfId="1868" xr:uid="{C5F39B25-5D2C-413F-8414-B90A7BC79881}"/>
    <cellStyle name="Normal 3 3 6 3 2" xfId="2706" xr:uid="{9771CDAC-AFD3-44AE-8B19-809F349A09BF}"/>
    <cellStyle name="Normal 3 3 6 4" xfId="2443" xr:uid="{4F9DFD65-C4EE-4042-A278-F91E2C27438C}"/>
    <cellStyle name="Normal 3 3 7" xfId="1410" xr:uid="{177FE0B9-15D3-4FD6-914A-15C5437B15A0}"/>
    <cellStyle name="Normal 3 3 7 2" xfId="2015" xr:uid="{F656B6F6-85C5-42B1-ADE5-D49436BB353F}"/>
    <cellStyle name="Normal 3 3 7 2 2" xfId="2853" xr:uid="{6DEEBB2A-9D42-4E8B-8833-01F69C7B1044}"/>
    <cellStyle name="Normal 3 3 7 3" xfId="2445" xr:uid="{156F23E1-9503-4B67-88E7-A811E1B5605D}"/>
    <cellStyle name="Normal 3 3 8" xfId="1845" xr:uid="{DA1D3347-50FA-4D55-ABF4-28F5780F8EA0}"/>
    <cellStyle name="Normal 3 3 8 2" xfId="2683" xr:uid="{5E2BB102-164E-41E0-88EC-8331CAEA81A9}"/>
    <cellStyle name="Normal 3 3 9" xfId="2238" xr:uid="{67223093-6D55-4D10-866E-FB3A7E3C7A67}"/>
    <cellStyle name="Normal 3 4" xfId="1411" xr:uid="{E07EF025-6392-49B2-9524-0A7ADE9084F0}"/>
    <cellStyle name="Normal 3 5" xfId="1412" xr:uid="{8026D960-26CA-4BC8-A610-A5D73AB6F664}"/>
    <cellStyle name="Normal 3 5 2" xfId="1971" xr:uid="{3154FD98-1B66-4C88-98CB-F4B1522EAB50}"/>
    <cellStyle name="Normal 3 5 2 2" xfId="2809" xr:uid="{2E0D4192-9ACF-48EF-9FD3-862E0A94A21D}"/>
    <cellStyle name="Normal 3 5 3" xfId="2446" xr:uid="{D38533AA-7E60-4E2D-AE8F-5A21B02C7634}"/>
    <cellStyle name="Normal 3 6" xfId="1801" xr:uid="{AE5E5130-66D7-4456-96BB-04C887517A71}"/>
    <cellStyle name="Normal 3 6 2" xfId="2639" xr:uid="{9213465F-866C-46DC-9C94-DB086527884F}"/>
    <cellStyle name="Normal 3 7" xfId="2211" xr:uid="{01937FA9-C02D-43C7-B759-5DDCE3B77C71}"/>
    <cellStyle name="Normal 3 8" xfId="2397" xr:uid="{4338B9C6-E7A0-455D-ADC3-4BFC1BC16ACF}"/>
    <cellStyle name="Normal 3 9" xfId="1360" xr:uid="{5339F9A2-E26C-4C7D-90CA-10A5E8068A28}"/>
    <cellStyle name="Normal 3_Incentive Updates" xfId="1413" xr:uid="{D3969A28-EB85-48D9-A55B-CC6D1D915F03}"/>
    <cellStyle name="Normal 30" xfId="2147" xr:uid="{EB1984AC-E7FA-4B85-9234-FEE0C0E6AA76}"/>
    <cellStyle name="Normal 30 2" xfId="2985" xr:uid="{A4A65E60-3D86-4347-B063-CB420775C93C}"/>
    <cellStyle name="Normal 31" xfId="2145" xr:uid="{9E1FD06A-92B1-4BC3-AE96-68F7FDAD8592}"/>
    <cellStyle name="Normal 31 2" xfId="2983" xr:uid="{3D273932-F43B-47FA-8F1D-7F9613B06AD4}"/>
    <cellStyle name="Normal 32" xfId="2150" xr:uid="{03C2B7E3-C312-434F-8F76-F1FFC81F706A}"/>
    <cellStyle name="Normal 32 2" xfId="2988" xr:uid="{B1DFB432-A4CC-489B-B342-98994B5D2767}"/>
    <cellStyle name="Normal 33" xfId="2154" xr:uid="{042BD4E1-9248-479D-8C5D-89ED33091B80}"/>
    <cellStyle name="Normal 33 2" xfId="2992" xr:uid="{B19EE2B7-0C89-419B-995F-01171C156584}"/>
    <cellStyle name="Normal 34" xfId="2153" xr:uid="{CF125725-C3AF-4B34-8F89-0C467B16FB7D}"/>
    <cellStyle name="Normal 34 2" xfId="2991" xr:uid="{0B467CEE-6FD7-45CD-A12E-650A0734F8F4}"/>
    <cellStyle name="Normal 35" xfId="2146" xr:uid="{F5D06E54-BA2A-400B-A84A-5CD98C31B4F9}"/>
    <cellStyle name="Normal 35 2" xfId="2984" xr:uid="{388D8C0C-E63F-4709-A903-47F6ABD4CDB7}"/>
    <cellStyle name="Normal 36" xfId="2151" xr:uid="{03659B4D-6997-4EFB-9244-36F68ABC88B3}"/>
    <cellStyle name="Normal 36 2" xfId="2989" xr:uid="{0E83AC94-A1A9-4F48-AAB2-87BA2B73223D}"/>
    <cellStyle name="Normal 37" xfId="2148" xr:uid="{6A183786-AA4E-45EC-BAD5-CFB09C0F7207}"/>
    <cellStyle name="Normal 37 2" xfId="2986" xr:uid="{32482FB2-AA1D-497B-AF4F-DE1EADC35E2B}"/>
    <cellStyle name="Normal 38" xfId="2158" xr:uid="{A433DD2E-9D42-4B32-8AAC-F4B99489AF18}"/>
    <cellStyle name="Normal 38 2" xfId="2996" xr:uid="{2452C8FB-CE97-480B-A0DF-2F0F7BFE5BDA}"/>
    <cellStyle name="Normal 39" xfId="2157" xr:uid="{2AC46E4D-5C15-4AA9-B9B6-262370DE1DC3}"/>
    <cellStyle name="Normal 39 2" xfId="2995" xr:uid="{80B78F04-9D59-4146-A533-50BE7AC792A5}"/>
    <cellStyle name="Normal 4" xfId="148" xr:uid="{00000000-0005-0000-0000-0000B6010000}"/>
    <cellStyle name="Normal 4 10" xfId="1415" xr:uid="{1BE2DF3A-E8D6-4A04-BB77-CA534FA64D29}"/>
    <cellStyle name="Normal 4 10 2" xfId="1416" xr:uid="{D87BE5EF-8098-4794-8A61-9C6EFFE50B0F}"/>
    <cellStyle name="Normal 4 10 2 2" xfId="2040" xr:uid="{474797E6-3EC6-4C7B-9A42-765732C8F2D7}"/>
    <cellStyle name="Normal 4 10 2 2 2" xfId="2878" xr:uid="{25C34643-D2EF-4B7B-811D-D68C0902B9FF}"/>
    <cellStyle name="Normal 4 10 2 3" xfId="2449" xr:uid="{4B095C41-63D4-4635-BDCD-4D41C3409B55}"/>
    <cellStyle name="Normal 4 10 3" xfId="1870" xr:uid="{3503F00A-77CF-4E5D-A299-366FE81EB8FB}"/>
    <cellStyle name="Normal 4 10 3 2" xfId="2708" xr:uid="{EFE79BC0-E857-4949-A78F-ACA9D043128F}"/>
    <cellStyle name="Normal 4 10 4" xfId="2448" xr:uid="{801B24CB-8456-444F-90B3-2A48340AB901}"/>
    <cellStyle name="Normal 4 11" xfId="1417" xr:uid="{E31DF5AA-71E0-403C-AB87-D036CC23DCCA}"/>
    <cellStyle name="Normal 4 11 2" xfId="1418" xr:uid="{BE232B32-7EE7-4C04-9611-CF485921CEEE}"/>
    <cellStyle name="Normal 4 11 2 2" xfId="2039" xr:uid="{8B88AE50-0BB1-4921-A78D-9059D8DC5341}"/>
    <cellStyle name="Normal 4 11 2 2 2" xfId="2877" xr:uid="{CDB89B80-33AF-4B7E-BF50-E20696542D13}"/>
    <cellStyle name="Normal 4 11 2 3" xfId="2451" xr:uid="{F991B8BE-CBF8-4CD0-918B-1071E4D70F19}"/>
    <cellStyle name="Normal 4 11 3" xfId="1869" xr:uid="{9D21628D-F37E-4D0D-891C-BFFFEB29BE14}"/>
    <cellStyle name="Normal 4 11 3 2" xfId="2707" xr:uid="{981A7E47-6ACB-4EE8-8461-AA96CF9A6637}"/>
    <cellStyle name="Normal 4 11 4" xfId="2450" xr:uid="{4E7992CB-C4B0-4510-8EA8-EA0FDCAD0976}"/>
    <cellStyle name="Normal 4 12" xfId="1419" xr:uid="{C2675D15-315A-4588-A442-F1834919F03C}"/>
    <cellStyle name="Normal 4 12 2" xfId="1972" xr:uid="{458578E6-801C-4E86-805E-3BDF025052D2}"/>
    <cellStyle name="Normal 4 12 2 2" xfId="2810" xr:uid="{915344BF-27CF-4D64-909E-A52F371A4AB0}"/>
    <cellStyle name="Normal 4 12 3" xfId="2452" xr:uid="{1F5BB8FA-3E8D-4099-8305-C1C385E1F88C}"/>
    <cellStyle name="Normal 4 13" xfId="1802" xr:uid="{57F4B076-F719-4377-A171-ED751CA88326}"/>
    <cellStyle name="Normal 4 13 2" xfId="2640" xr:uid="{212FB2C4-E530-4B5D-AB8C-984984C0182B}"/>
    <cellStyle name="Normal 4 14" xfId="2212" xr:uid="{C6763DA5-5318-4333-A471-9CCB44A4CC81}"/>
    <cellStyle name="Normal 4 15" xfId="2447" xr:uid="{C0BECD78-7F86-4D73-9846-7A445EFEAD39}"/>
    <cellStyle name="Normal 4 16" xfId="1414" xr:uid="{B496AEFD-17AA-4AEA-9CBA-0888E904FC39}"/>
    <cellStyle name="Normal 4 2" xfId="526" xr:uid="{00000000-0005-0000-0000-0000B7010000}"/>
    <cellStyle name="Normal 4 2 2" xfId="1421" xr:uid="{3E8B6682-E608-4994-9D5F-DA6519C99EC7}"/>
    <cellStyle name="Normal 4 2 3" xfId="1422" xr:uid="{F2F23754-5CA1-4989-ACC3-228BFED9D049}"/>
    <cellStyle name="Normal 4 2 3 2" xfId="2041" xr:uid="{5FC90356-4814-4BCE-ABA7-C126D29F3832}"/>
    <cellStyle name="Normal 4 2 3 2 2" xfId="2879" xr:uid="{5337AD9B-8649-4117-BCF7-0C0FBB4F1DED}"/>
    <cellStyle name="Normal 4 2 3 3" xfId="2454" xr:uid="{86B853D3-0648-425E-9A2D-D413211D119B}"/>
    <cellStyle name="Normal 4 2 4" xfId="1871" xr:uid="{D5863288-E899-4115-9C51-94A6218A7911}"/>
    <cellStyle name="Normal 4 2 4 2" xfId="2709" xr:uid="{9B31484D-2940-4239-BF0A-50C171192BDD}"/>
    <cellStyle name="Normal 4 2 5" xfId="2239" xr:uid="{8BFA4B12-02EB-4D46-A543-A51021E5129A}"/>
    <cellStyle name="Normal 4 2 6" xfId="2453" xr:uid="{C333BE56-60BC-4572-80D4-B630E3BD9236}"/>
    <cellStyle name="Normal 4 2 7" xfId="1420" xr:uid="{E22DB21D-3CCA-4A75-A6DB-1CEA16C08A21}"/>
    <cellStyle name="Normal 4 3" xfId="1423" xr:uid="{90783ECF-349C-42B6-AAA5-43F8608AB97B}"/>
    <cellStyle name="Normal 4 3 2" xfId="1424" xr:uid="{C27E44D1-6BE5-48B5-A78E-0D78C4CF7F7D}"/>
    <cellStyle name="Normal 4 3 2 2" xfId="1425" xr:uid="{0895EE86-050C-4FFF-9535-C26B32CD2FD1}"/>
    <cellStyle name="Normal 4 3 2 2 2" xfId="2042" xr:uid="{FDB59BB0-6168-4614-A64F-7A3CCA0F015C}"/>
    <cellStyle name="Normal 4 3 2 2 2 2" xfId="2880" xr:uid="{D63EE033-C852-42C7-AEAB-DC476DD0DB4D}"/>
    <cellStyle name="Normal 4 3 2 2 3" xfId="2456" xr:uid="{5742E25E-E816-49DC-9F0C-ACEAFBB57BAB}"/>
    <cellStyle name="Normal 4 3 2 3" xfId="1872" xr:uid="{B4856B71-0879-4DFB-889D-D0845C997D55}"/>
    <cellStyle name="Normal 4 3 2 3 2" xfId="2710" xr:uid="{0CB65072-B25B-46A3-AF23-36DCA7580F4E}"/>
    <cellStyle name="Normal 4 3 2 4" xfId="2455" xr:uid="{0362333F-8C70-45AF-AA44-FD0EA3CAB068}"/>
    <cellStyle name="Normal 4 4" xfId="1426" xr:uid="{10F48314-4B1F-4599-910F-536433DC0892}"/>
    <cellStyle name="Normal 4 4 2" xfId="1427" xr:uid="{26EC271B-8E79-4315-B147-A60AC4AAC0A4}"/>
    <cellStyle name="Normal 4 5" xfId="1428" xr:uid="{B575BC4C-51F0-477C-A197-6F2E726F71F5}"/>
    <cellStyle name="Normal 4 6" xfId="1429" xr:uid="{466E2276-04EB-494A-AE89-748BACB6583D}"/>
    <cellStyle name="Normal 4 6 2" xfId="1430" xr:uid="{50D3746E-3BD7-432E-8FC2-D9AC50EC4458}"/>
    <cellStyle name="Normal 4 6 2 2" xfId="1431" xr:uid="{62E76B8F-C830-4A60-B406-940C85D31F3D}"/>
    <cellStyle name="Normal 4 6 2 2 2" xfId="1432" xr:uid="{9813F9E8-7FF1-417C-9A54-9BC5858777AA}"/>
    <cellStyle name="Normal 4 6 2 2 2 2" xfId="2045" xr:uid="{56EBC6B3-0CB4-4206-AE23-2656F6850B15}"/>
    <cellStyle name="Normal 4 6 2 2 2 2 2" xfId="2883" xr:uid="{20B62EEB-78F3-4681-8434-1906138694AD}"/>
    <cellStyle name="Normal 4 6 2 2 2 3" xfId="2460" xr:uid="{4131F70C-5FD2-4D6C-BDA2-041357C18EFF}"/>
    <cellStyle name="Normal 4 6 2 2 3" xfId="1875" xr:uid="{54234563-2460-401B-9890-2B1A84C8A454}"/>
    <cellStyle name="Normal 4 6 2 2 3 2" xfId="2713" xr:uid="{1D6EC568-6CE7-4772-A4CC-8DEA4D51AADC}"/>
    <cellStyle name="Normal 4 6 2 2 4" xfId="2459" xr:uid="{973FEA00-9FB0-4775-AAC5-C2E643486BBB}"/>
    <cellStyle name="Normal 4 6 2 3" xfId="1433" xr:uid="{3083BE82-C028-4BEA-A637-B71F770E252F}"/>
    <cellStyle name="Normal 4 6 2 3 2" xfId="1434" xr:uid="{C7D544F5-8882-4C01-8F25-0DBFEFD4C1F8}"/>
    <cellStyle name="Normal 4 6 2 3 2 2" xfId="2046" xr:uid="{C0735A62-52FF-4678-A2A6-EBB18CE58F08}"/>
    <cellStyle name="Normal 4 6 2 3 2 2 2" xfId="2884" xr:uid="{4FE45C9F-FEBA-4DAF-9DDC-F192B407A60A}"/>
    <cellStyle name="Normal 4 6 2 3 2 3" xfId="2462" xr:uid="{1E3B1081-89B0-4822-AAE3-103D4D835651}"/>
    <cellStyle name="Normal 4 6 2 3 3" xfId="1876" xr:uid="{DE07F520-FA4C-4D4B-96F4-795A6B558887}"/>
    <cellStyle name="Normal 4 6 2 3 3 2" xfId="2714" xr:uid="{70C31B90-BBB6-4817-949C-DA2E3A0ED760}"/>
    <cellStyle name="Normal 4 6 2 3 4" xfId="2461" xr:uid="{BE2315A9-A79D-4D58-AF9E-B002EF2EDB3E}"/>
    <cellStyle name="Normal 4 6 2 4" xfId="1435" xr:uid="{7685870A-C047-4C99-A0BF-1701062D3354}"/>
    <cellStyle name="Normal 4 6 2 4 2" xfId="2044" xr:uid="{798DA74D-08DF-4DED-8B9C-1C1506BC42ED}"/>
    <cellStyle name="Normal 4 6 2 4 2 2" xfId="2882" xr:uid="{9BC80D4D-FA01-4E59-B917-70D765CA0989}"/>
    <cellStyle name="Normal 4 6 2 4 3" xfId="2463" xr:uid="{63FE4BDB-C9BD-4503-9D20-D208D220B406}"/>
    <cellStyle name="Normal 4 6 2 5" xfId="1874" xr:uid="{973D753B-4B02-424F-B827-B46D26EA69ED}"/>
    <cellStyle name="Normal 4 6 2 5 2" xfId="2712" xr:uid="{CB97BAA2-3859-4EA1-9439-8586C8258A66}"/>
    <cellStyle name="Normal 4 6 2 6" xfId="2458" xr:uid="{AA81057F-D192-404A-A8E8-9071E5A4ADE6}"/>
    <cellStyle name="Normal 4 6 3" xfId="1436" xr:uid="{A88E3927-5C89-483F-843D-84143B845777}"/>
    <cellStyle name="Normal 4 6 3 2" xfId="1437" xr:uid="{C587A701-EC3B-4F1D-ADED-CB54A56D5151}"/>
    <cellStyle name="Normal 4 6 3 2 2" xfId="2047" xr:uid="{BDC8E6A6-F802-440A-93AB-FE2AC2FAF50B}"/>
    <cellStyle name="Normal 4 6 3 2 2 2" xfId="2885" xr:uid="{75ABF46E-A8C1-4135-B512-D0117323D769}"/>
    <cellStyle name="Normal 4 6 3 2 3" xfId="2465" xr:uid="{5A2DBE64-45DA-4212-A44A-54DB40C37055}"/>
    <cellStyle name="Normal 4 6 3 3" xfId="1877" xr:uid="{5BBE7A73-9613-4479-9A5B-E8417AD7049E}"/>
    <cellStyle name="Normal 4 6 3 3 2" xfId="2715" xr:uid="{AD255259-EF28-4D48-98CF-3BC0804EAC48}"/>
    <cellStyle name="Normal 4 6 3 4" xfId="2464" xr:uid="{03FBC877-9BFA-4D45-BAA9-8CE6AC874AA9}"/>
    <cellStyle name="Normal 4 6 4" xfId="1438" xr:uid="{3ADE5F29-6162-4CC6-9939-5A7759483DF6}"/>
    <cellStyle name="Normal 4 6 4 2" xfId="1439" xr:uid="{9C956B0A-D923-4F46-A4EE-8CF25CA52E25}"/>
    <cellStyle name="Normal 4 6 4 2 2" xfId="2048" xr:uid="{FCDD54C5-DBD0-4047-B921-955540F9F95A}"/>
    <cellStyle name="Normal 4 6 4 2 2 2" xfId="2886" xr:uid="{00422412-2BBA-470E-83E7-05F8FBF0AEEF}"/>
    <cellStyle name="Normal 4 6 4 2 3" xfId="2467" xr:uid="{A55FA090-2633-4C7E-8203-1CA3C44A89A3}"/>
    <cellStyle name="Normal 4 6 4 3" xfId="1878" xr:uid="{B10AD301-133D-48CF-938B-C8FD426F1AD5}"/>
    <cellStyle name="Normal 4 6 4 3 2" xfId="2716" xr:uid="{4EA15C64-6731-4FE6-BC33-93FE40CCD1A8}"/>
    <cellStyle name="Normal 4 6 4 4" xfId="2466" xr:uid="{B4F27700-57BA-437C-8C0B-C5D0300DDAA7}"/>
    <cellStyle name="Normal 4 6 5" xfId="1440" xr:uid="{5529D59E-F711-47D2-9E2F-294B7FD0334F}"/>
    <cellStyle name="Normal 4 6 5 2" xfId="2043" xr:uid="{681AB269-9F92-4940-9D75-996C5C906CD5}"/>
    <cellStyle name="Normal 4 6 5 2 2" xfId="2881" xr:uid="{0EFB0F9E-DEF2-45D7-BA4F-62EAD558C49A}"/>
    <cellStyle name="Normal 4 6 5 3" xfId="2468" xr:uid="{B9DD7042-CEBF-4012-AE3D-17A97F0A0875}"/>
    <cellStyle name="Normal 4 6 6" xfId="1873" xr:uid="{838CBE68-CE96-46A0-A151-4D4BDB6F83D1}"/>
    <cellStyle name="Normal 4 6 6 2" xfId="2711" xr:uid="{93232B3B-1A78-44A2-B8C2-634FCE164D55}"/>
    <cellStyle name="Normal 4 6 7" xfId="2457" xr:uid="{334A6610-4525-4AC8-9493-8278EF16AB75}"/>
    <cellStyle name="Normal 4 7" xfId="1441" xr:uid="{6D19813C-0D74-4697-A469-8F01DF008D81}"/>
    <cellStyle name="Normal 4 7 2" xfId="1442" xr:uid="{274E7570-A075-4788-8F6A-8FB84F3AB1D0}"/>
    <cellStyle name="Normal 4 7 2 2" xfId="1443" xr:uid="{49075640-5CC0-4858-A839-DAD3AE47394C}"/>
    <cellStyle name="Normal 4 7 2 2 2" xfId="2050" xr:uid="{F67F6F0A-C25E-444C-9183-61A059FA4560}"/>
    <cellStyle name="Normal 4 7 2 2 2 2" xfId="2888" xr:uid="{F88DE09E-C882-44D1-A310-2879C3E48B40}"/>
    <cellStyle name="Normal 4 7 2 2 3" xfId="2471" xr:uid="{2D85F0FD-ADEF-4301-9452-92D8FE5FA373}"/>
    <cellStyle name="Normal 4 7 2 3" xfId="1880" xr:uid="{6FEFBFD5-CC97-466A-B966-7B4E1850B3D1}"/>
    <cellStyle name="Normal 4 7 2 3 2" xfId="2718" xr:uid="{F6B2717C-439A-4755-A364-40BF2D0B1407}"/>
    <cellStyle name="Normal 4 7 2 4" xfId="2470" xr:uid="{50920F58-4314-4D57-9B6B-CB597468B788}"/>
    <cellStyle name="Normal 4 7 3" xfId="1444" xr:uid="{2AE194A7-D00B-488E-B731-0FE33B4FD571}"/>
    <cellStyle name="Normal 4 7 3 2" xfId="1445" xr:uid="{618288DF-54D5-4610-B0CF-C29A5805B2F9}"/>
    <cellStyle name="Normal 4 7 3 2 2" xfId="2051" xr:uid="{8165C4DD-70B1-4FAB-AE0C-B582DC57CAE4}"/>
    <cellStyle name="Normal 4 7 3 2 2 2" xfId="2889" xr:uid="{2DD9CC5E-DB69-4339-A930-53B05FE5308C}"/>
    <cellStyle name="Normal 4 7 3 2 3" xfId="2473" xr:uid="{56CB45A4-C19F-4A14-B173-32A3FE35A135}"/>
    <cellStyle name="Normal 4 7 3 3" xfId="1881" xr:uid="{887B1CAF-DD4A-4EFF-A2FE-74C301FD3862}"/>
    <cellStyle name="Normal 4 7 3 3 2" xfId="2719" xr:uid="{B9855D14-C8A6-4D54-BF05-6E25B47E7C26}"/>
    <cellStyle name="Normal 4 7 3 4" xfId="2472" xr:uid="{B3822C67-3739-47E2-85A7-B8AABAD7E22B}"/>
    <cellStyle name="Normal 4 7 4" xfId="1446" xr:uid="{7DFE28CB-EE08-478B-911A-69CF0808316E}"/>
    <cellStyle name="Normal 4 7 4 2" xfId="2049" xr:uid="{80DB77B7-EE3A-4E07-83BB-841CEBC0F2AA}"/>
    <cellStyle name="Normal 4 7 4 2 2" xfId="2887" xr:uid="{75A459BA-04D7-4A05-91BF-AC7A86F972AB}"/>
    <cellStyle name="Normal 4 7 4 3" xfId="2474" xr:uid="{ADB7D63D-4593-483F-B1DF-7A81208DE749}"/>
    <cellStyle name="Normal 4 7 5" xfId="1879" xr:uid="{09DACF4E-CEC4-4F23-BD12-C72385493460}"/>
    <cellStyle name="Normal 4 7 5 2" xfId="2717" xr:uid="{AE198D66-DCE2-4C5F-A8C7-6DFC4CC274CE}"/>
    <cellStyle name="Normal 4 7 6" xfId="2469" xr:uid="{0DA17CEE-83E9-4663-A93D-B87A3F0DE97A}"/>
    <cellStyle name="Normal 4 8" xfId="1447" xr:uid="{2ED07110-A5A3-4EB3-B373-0E0DDC685D3D}"/>
    <cellStyle name="Normal 4 8 2" xfId="1448" xr:uid="{67B9D659-7A5E-41E7-9A39-1098728ACBE9}"/>
    <cellStyle name="Normal 4 8 2 2" xfId="2052" xr:uid="{2C003BAB-7666-432E-B707-7E461A18D46B}"/>
    <cellStyle name="Normal 4 8 2 2 2" xfId="2890" xr:uid="{D7A26C00-C765-4CFE-B6CF-9FB452E4CE61}"/>
    <cellStyle name="Normal 4 8 2 3" xfId="2476" xr:uid="{F0D04844-AD76-43F4-A23E-5F6D3DFE9EFC}"/>
    <cellStyle name="Normal 4 8 3" xfId="1882" xr:uid="{B704E103-0C78-4F51-A269-B219C8C5EACD}"/>
    <cellStyle name="Normal 4 8 3 2" xfId="2720" xr:uid="{358CE768-6715-4304-9F6D-E28762CF3F7B}"/>
    <cellStyle name="Normal 4 8 4" xfId="2475" xr:uid="{C0E8D20C-B9AE-41A3-BC22-9F97F8E30C41}"/>
    <cellStyle name="Normal 4 9" xfId="1449" xr:uid="{F50D522F-3BBC-4F7F-AC36-B4D258D52C94}"/>
    <cellStyle name="Normal 4 9 2" xfId="1450" xr:uid="{E50B2F15-0EE9-4132-B483-E875A267060C}"/>
    <cellStyle name="Normal 4 9 2 2" xfId="2053" xr:uid="{4D38DCA1-DAA3-43D8-A950-00420BB0580C}"/>
    <cellStyle name="Normal 4 9 2 2 2" xfId="2891" xr:uid="{4B07E216-A787-4B6A-B437-9901F2F1CD21}"/>
    <cellStyle name="Normal 4 9 2 3" xfId="2478" xr:uid="{F4C734D3-5096-482B-8689-A913EE72ECB8}"/>
    <cellStyle name="Normal 4 9 3" xfId="1883" xr:uid="{3A33CAD0-CC6D-4D5D-B42C-78BF7D0C51F5}"/>
    <cellStyle name="Normal 4 9 3 2" xfId="2721" xr:uid="{4A5C4AF6-2976-4AF4-9B65-7342A5EA4388}"/>
    <cellStyle name="Normal 4 9 4" xfId="2477" xr:uid="{35FF2734-CDF3-4E47-8BFE-33CDDDC85BF2}"/>
    <cellStyle name="Normal 40" xfId="2156" xr:uid="{833ACCC3-0708-4F38-B5E0-0B9F66D5EBA7}"/>
    <cellStyle name="Normal 40 2" xfId="2994" xr:uid="{69A37F8E-DE01-4AE6-B7C3-1DF7B3E3EE64}"/>
    <cellStyle name="Normal 41" xfId="2149" xr:uid="{2B9A42E2-903D-48DD-BF60-2A19576B5168}"/>
    <cellStyle name="Normal 41 2" xfId="2987" xr:uid="{0B71EFD9-3953-49C0-971B-19D4EB98154E}"/>
    <cellStyle name="Normal 42" xfId="2144" xr:uid="{DF71B3CC-026C-44F0-A8F4-948A502706E2}"/>
    <cellStyle name="Normal 42 2" xfId="2982" xr:uid="{E3C4B33F-96FF-4BC0-A976-2966B9C60F20}"/>
    <cellStyle name="Normal 43" xfId="2155" xr:uid="{E1578A36-AA72-4DC6-8C0B-4E02C3D0531C}"/>
    <cellStyle name="Normal 43 2" xfId="2993" xr:uid="{AFE3399E-1251-4877-8772-AB791F792E7A}"/>
    <cellStyle name="Normal 44" xfId="2186" xr:uid="{1F8C26B9-A588-4817-A695-426AA1A34679}"/>
    <cellStyle name="Normal 44 2" xfId="2997" xr:uid="{BEF0AA77-3B1E-46CC-9DC2-37E39241F1ED}"/>
    <cellStyle name="Normal 45" xfId="2191" xr:uid="{9E042CA5-78F0-4346-B081-248E2D156C3E}"/>
    <cellStyle name="Normal 45 2" xfId="3002" xr:uid="{F3F3DBD2-0344-46C9-ADF8-44F87F78915C}"/>
    <cellStyle name="Normal 46" xfId="2189" xr:uid="{C84B86F2-5536-4D55-B6BF-08A2C79C1A1C}"/>
    <cellStyle name="Normal 46 2" xfId="3000" xr:uid="{2A04F1D6-9172-4205-A554-828D6ECD54D8}"/>
    <cellStyle name="Normal 47" xfId="2192" xr:uid="{A37F5F94-2903-4268-8BA8-F6476126BEB2}"/>
    <cellStyle name="Normal 47 2" xfId="3003" xr:uid="{C85E3F99-4FB6-472C-A65F-5E012A96BFC9}"/>
    <cellStyle name="Normal 48" xfId="2188" xr:uid="{AEDFD02D-CF88-4B59-BB2E-817D36BAFFD0}"/>
    <cellStyle name="Normal 48 2" xfId="2999" xr:uid="{D6FE34E5-0A59-460C-8409-EA9AFBF09CD5}"/>
    <cellStyle name="Normal 49" xfId="2190" xr:uid="{4255AAE2-EE31-4421-BA56-F2082C8EB45E}"/>
    <cellStyle name="Normal 49 2" xfId="3001" xr:uid="{66ABD6D1-F2F8-4CA8-B245-A21BB1356B62}"/>
    <cellStyle name="Normal 5" xfId="147" xr:uid="{00000000-0005-0000-0000-0000B8010000}"/>
    <cellStyle name="Normal 5 10" xfId="2214" xr:uid="{FC419888-3464-43B7-BD60-05DDA4C02CDF}"/>
    <cellStyle name="Normal 5 11" xfId="2479" xr:uid="{C26C9D8F-F8AF-4EBB-9229-6D8E12FDC96C}"/>
    <cellStyle name="Normal 5 12" xfId="1451" xr:uid="{37A0B83C-AF6A-4FA9-9082-8F525E6BF3AC}"/>
    <cellStyle name="Normal 5 2" xfId="238" xr:uid="{00000000-0005-0000-0000-0000B9010000}"/>
    <cellStyle name="Normal 5 2 10" xfId="1452" xr:uid="{B345E12F-17F1-4A0B-8BC7-874CE4D3D51B}"/>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2 2 2" xfId="2895" xr:uid="{C22E4965-62E4-4B55-8EE5-7F6547E6DEE8}"/>
    <cellStyle name="Normal 5 2 2 2 2 2 2 3" xfId="2057" xr:uid="{204ACA08-09E5-46E2-AEBA-105B0418E9C9}"/>
    <cellStyle name="Normal 5 2 2 2 2 2 3" xfId="769" xr:uid="{00000000-0005-0000-0000-0000C0010000}"/>
    <cellStyle name="Normal 5 2 2 2 2 2 3 2" xfId="2484" xr:uid="{6C79D472-4AB0-4D02-851E-40CE9EFCE663}"/>
    <cellStyle name="Normal 5 2 2 2 2 2 4" xfId="1456" xr:uid="{C9665ABD-B1B5-4347-A3E7-DD7E5A7C7A5D}"/>
    <cellStyle name="Normal 5 2 2 2 2 3" xfId="612" xr:uid="{00000000-0005-0000-0000-0000C1010000}"/>
    <cellStyle name="Normal 5 2 2 2 2 3 2" xfId="823" xr:uid="{00000000-0005-0000-0000-0000C2010000}"/>
    <cellStyle name="Normal 5 2 2 2 2 3 2 2" xfId="2725" xr:uid="{5DFEC5AC-B65F-4415-ACD7-2F6FCA3936ED}"/>
    <cellStyle name="Normal 5 2 2 2 2 3 3" xfId="1887" xr:uid="{26117F46-18A8-4F58-BEE2-F6FDB9AE8D26}"/>
    <cellStyle name="Normal 5 2 2 2 2 4" xfId="717" xr:uid="{00000000-0005-0000-0000-0000C3010000}"/>
    <cellStyle name="Normal 5 2 2 2 2 4 2" xfId="2483" xr:uid="{789506B2-52C1-49F9-9775-70EF8C7B4FDA}"/>
    <cellStyle name="Normal 5 2 2 2 2 5" xfId="1455" xr:uid="{63AC2AE2-E42C-4DAB-A09E-6711B6615F81}"/>
    <cellStyle name="Normal 5 2 2 2 3" xfId="482" xr:uid="{00000000-0005-0000-0000-0000C4010000}"/>
    <cellStyle name="Normal 5 2 2 2 3 2" xfId="638" xr:uid="{00000000-0005-0000-0000-0000C5010000}"/>
    <cellStyle name="Normal 5 2 2 2 3 2 2" xfId="849" xr:uid="{00000000-0005-0000-0000-0000C6010000}"/>
    <cellStyle name="Normal 5 2 2 2 3 2 2 2" xfId="2896" xr:uid="{959B8AF7-DD1E-43C6-A5B3-7C8E4A9A246E}"/>
    <cellStyle name="Normal 5 2 2 2 3 2 2 3" xfId="2058" xr:uid="{DEACB3E0-9634-482A-AF7B-C51926D36A7C}"/>
    <cellStyle name="Normal 5 2 2 2 3 2 3" xfId="2486" xr:uid="{CFEF161E-9FE0-49C0-9167-5D529D218C4E}"/>
    <cellStyle name="Normal 5 2 2 2 3 2 4" xfId="1458" xr:uid="{EE2EEC5F-D162-4254-BA76-EF8DB7EEB619}"/>
    <cellStyle name="Normal 5 2 2 2 3 3" xfId="743" xr:uid="{00000000-0005-0000-0000-0000C7010000}"/>
    <cellStyle name="Normal 5 2 2 2 3 3 2" xfId="2726" xr:uid="{B82F4081-33CB-4FDF-B6C5-5A6E5CD3D714}"/>
    <cellStyle name="Normal 5 2 2 2 3 3 3" xfId="1888" xr:uid="{DBF11B20-66BB-43EA-923A-FE1F2F6CB409}"/>
    <cellStyle name="Normal 5 2 2 2 3 4" xfId="2485" xr:uid="{9C9EE4C6-EA6A-42BD-A6BE-2FCD5C39F369}"/>
    <cellStyle name="Normal 5 2 2 2 3 5" xfId="1457" xr:uid="{1AB55730-1E42-403B-84F2-4CE6AD2FF437}"/>
    <cellStyle name="Normal 5 2 2 2 4" xfId="586" xr:uid="{00000000-0005-0000-0000-0000C8010000}"/>
    <cellStyle name="Normal 5 2 2 2 4 2" xfId="797" xr:uid="{00000000-0005-0000-0000-0000C9010000}"/>
    <cellStyle name="Normal 5 2 2 2 4 2 2" xfId="2894" xr:uid="{8721304C-C15F-46F5-8634-0110A42D9BE6}"/>
    <cellStyle name="Normal 5 2 2 2 4 2 3" xfId="2056" xr:uid="{A36E88A1-E9CB-44FA-BDAE-1B1978155031}"/>
    <cellStyle name="Normal 5 2 2 2 4 3" xfId="2487" xr:uid="{2F7BBA1E-0AB5-4668-B292-F68A8FAE0D7B}"/>
    <cellStyle name="Normal 5 2 2 2 4 4" xfId="1459" xr:uid="{80C1D847-F105-49C0-BA8B-657ED51C3749}"/>
    <cellStyle name="Normal 5 2 2 2 5" xfId="691" xr:uid="{00000000-0005-0000-0000-0000CA010000}"/>
    <cellStyle name="Normal 5 2 2 2 5 2" xfId="2724" xr:uid="{9C6486A8-FD0D-466C-A810-27D0C5EC064A}"/>
    <cellStyle name="Normal 5 2 2 2 5 3" xfId="1886" xr:uid="{0C098C09-004B-419C-B53D-AA179EDE2FE0}"/>
    <cellStyle name="Normal 5 2 2 2 6" xfId="2482" xr:uid="{6A5F0431-D6B8-4361-AC16-4E0E19434E81}"/>
    <cellStyle name="Normal 5 2 2 2 7" xfId="1454" xr:uid="{716D35EE-6F6E-4F2A-8711-9B21DE7CEA3D}"/>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2 3" xfId="2897" xr:uid="{FD99C5EC-B4FD-4E60-82F5-B14BFFBA1920}"/>
    <cellStyle name="Normal 5 2 2 3 2 2 3" xfId="778" xr:uid="{00000000-0005-0000-0000-0000D0010000}"/>
    <cellStyle name="Normal 5 2 2 3 2 2 4" xfId="2059" xr:uid="{C639309B-B139-4ABB-8EA4-B9A48EBB2EEC}"/>
    <cellStyle name="Normal 5 2 2 3 2 3" xfId="621" xr:uid="{00000000-0005-0000-0000-0000D1010000}"/>
    <cellStyle name="Normal 5 2 2 3 2 3 2" xfId="832" xr:uid="{00000000-0005-0000-0000-0000D2010000}"/>
    <cellStyle name="Normal 5 2 2 3 2 3 3" xfId="2489" xr:uid="{9CFC7D29-396E-41FD-B4EE-1A0F7DD76644}"/>
    <cellStyle name="Normal 5 2 2 3 2 4" xfId="726" xr:uid="{00000000-0005-0000-0000-0000D3010000}"/>
    <cellStyle name="Normal 5 2 2 3 2 5" xfId="1461" xr:uid="{8C7F834B-B769-43A6-B67B-4DB9B911AB61}"/>
    <cellStyle name="Normal 5 2 2 3 3" xfId="491" xr:uid="{00000000-0005-0000-0000-0000D4010000}"/>
    <cellStyle name="Normal 5 2 2 3 3 2" xfId="647" xr:uid="{00000000-0005-0000-0000-0000D5010000}"/>
    <cellStyle name="Normal 5 2 2 3 3 2 2" xfId="858" xr:uid="{00000000-0005-0000-0000-0000D6010000}"/>
    <cellStyle name="Normal 5 2 2 3 3 2 3" xfId="2727" xr:uid="{19CDFF11-7329-4AA1-9CBD-D750DB859E14}"/>
    <cellStyle name="Normal 5 2 2 3 3 3" xfId="752" xr:uid="{00000000-0005-0000-0000-0000D7010000}"/>
    <cellStyle name="Normal 5 2 2 3 3 4" xfId="1889" xr:uid="{8E38AF2D-15BE-4F4A-AD05-A70A49C70939}"/>
    <cellStyle name="Normal 5 2 2 3 4" xfId="595" xr:uid="{00000000-0005-0000-0000-0000D8010000}"/>
    <cellStyle name="Normal 5 2 2 3 4 2" xfId="806" xr:uid="{00000000-0005-0000-0000-0000D9010000}"/>
    <cellStyle name="Normal 5 2 2 3 4 3" xfId="2488" xr:uid="{E0152DFB-6ECB-4ECA-85F6-5345BDB0D48F}"/>
    <cellStyle name="Normal 5 2 2 3 5" xfId="700" xr:uid="{00000000-0005-0000-0000-0000DA010000}"/>
    <cellStyle name="Normal 5 2 2 3 6" xfId="1460" xr:uid="{CE596074-7EF5-49B9-96D2-20D4AD617E7F}"/>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2 2 2" xfId="2898" xr:uid="{8E1B9D7B-44A9-4872-975E-687590BAA135}"/>
    <cellStyle name="Normal 5 2 2 4 2 2 3" xfId="2060" xr:uid="{A613A8DD-12E4-4476-9BC8-68B3598AEBFD}"/>
    <cellStyle name="Normal 5 2 2 4 2 3" xfId="761" xr:uid="{00000000-0005-0000-0000-0000DF010000}"/>
    <cellStyle name="Normal 5 2 2 4 2 3 2" xfId="2491" xr:uid="{EC29C2D2-F545-47EB-8F97-24FBB613D7EB}"/>
    <cellStyle name="Normal 5 2 2 4 2 4" xfId="1463" xr:uid="{55773854-0F61-4763-8936-45520294D14C}"/>
    <cellStyle name="Normal 5 2 2 4 3" xfId="604" xr:uid="{00000000-0005-0000-0000-0000E0010000}"/>
    <cellStyle name="Normal 5 2 2 4 3 2" xfId="815" xr:uid="{00000000-0005-0000-0000-0000E1010000}"/>
    <cellStyle name="Normal 5 2 2 4 3 2 2" xfId="2728" xr:uid="{D873E091-CA3D-4277-9DD5-8510F3F3B477}"/>
    <cellStyle name="Normal 5 2 2 4 3 3" xfId="1890" xr:uid="{14B122AF-6F28-430B-B68F-4A9C0B1D9364}"/>
    <cellStyle name="Normal 5 2 2 4 4" xfId="709" xr:uid="{00000000-0005-0000-0000-0000E2010000}"/>
    <cellStyle name="Normal 5 2 2 4 4 2" xfId="2490" xr:uid="{DBAE2489-BA0B-4A10-B155-43E4BFF94EB8}"/>
    <cellStyle name="Normal 5 2 2 4 5" xfId="1462" xr:uid="{53C56C6B-3807-42CD-AEE7-ED48643937CE}"/>
    <cellStyle name="Normal 5 2 2 5" xfId="474" xr:uid="{00000000-0005-0000-0000-0000E3010000}"/>
    <cellStyle name="Normal 5 2 2 5 2" xfId="630" xr:uid="{00000000-0005-0000-0000-0000E4010000}"/>
    <cellStyle name="Normal 5 2 2 5 2 2" xfId="841" xr:uid="{00000000-0005-0000-0000-0000E5010000}"/>
    <cellStyle name="Normal 5 2 2 5 2 2 2" xfId="2893" xr:uid="{9445987F-4A7F-46D4-90C3-60AAF6744221}"/>
    <cellStyle name="Normal 5 2 2 5 2 3" xfId="2055" xr:uid="{98CFCF67-5644-4BA8-A8F8-8598294E4793}"/>
    <cellStyle name="Normal 5 2 2 5 3" xfId="735" xr:uid="{00000000-0005-0000-0000-0000E6010000}"/>
    <cellStyle name="Normal 5 2 2 5 3 2" xfId="2492" xr:uid="{55BCA6B3-668C-4329-9ADF-75153BD35FF5}"/>
    <cellStyle name="Normal 5 2 2 5 4" xfId="1464" xr:uid="{A943F9D7-3D30-4727-9D44-FCF0EC3B98DB}"/>
    <cellStyle name="Normal 5 2 2 6" xfId="578" xr:uid="{00000000-0005-0000-0000-0000E7010000}"/>
    <cellStyle name="Normal 5 2 2 6 2" xfId="789" xr:uid="{00000000-0005-0000-0000-0000E8010000}"/>
    <cellStyle name="Normal 5 2 2 6 2 2" xfId="2723" xr:uid="{76F91FA2-98DD-4FC3-97C5-CFD981FFA9C0}"/>
    <cellStyle name="Normal 5 2 2 6 3" xfId="1885" xr:uid="{19BF3FEB-DC84-4FEA-8C73-22B10A623EDD}"/>
    <cellStyle name="Normal 5 2 2 7" xfId="683" xr:uid="{00000000-0005-0000-0000-0000E9010000}"/>
    <cellStyle name="Normal 5 2 2 7 2" xfId="2481" xr:uid="{E4E7EE13-FDF7-4EF5-ABD8-C1FCB2D1DA56}"/>
    <cellStyle name="Normal 5 2 2 8" xfId="1453" xr:uid="{D632EE85-A0F2-491A-9672-464194DBAD3C}"/>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2 2 2" xfId="2900" xr:uid="{E14A0736-AFDB-4A41-91D4-2345A1463277}"/>
    <cellStyle name="Normal 5 2 3 2 2 2 3" xfId="2062" xr:uid="{6FAB7188-BD75-4E34-97F6-3FB67777CEA6}"/>
    <cellStyle name="Normal 5 2 3 2 2 3" xfId="765" xr:uid="{00000000-0005-0000-0000-0000EF010000}"/>
    <cellStyle name="Normal 5 2 3 2 2 3 2" xfId="2495" xr:uid="{0FAEE644-D693-428C-9BA0-4534B89238E3}"/>
    <cellStyle name="Normal 5 2 3 2 2 4" xfId="1467" xr:uid="{B7B1353A-80DD-4D43-98C9-6241D417B739}"/>
    <cellStyle name="Normal 5 2 3 2 3" xfId="608" xr:uid="{00000000-0005-0000-0000-0000F0010000}"/>
    <cellStyle name="Normal 5 2 3 2 3 2" xfId="819" xr:uid="{00000000-0005-0000-0000-0000F1010000}"/>
    <cellStyle name="Normal 5 2 3 2 3 2 2" xfId="2730" xr:uid="{BAB908B1-CDCC-49B3-BAF7-7B1ADC3E19BC}"/>
    <cellStyle name="Normal 5 2 3 2 3 3" xfId="1892" xr:uid="{B14FE6C6-813E-4DC4-9C17-C4D58B062315}"/>
    <cellStyle name="Normal 5 2 3 2 4" xfId="713" xr:uid="{00000000-0005-0000-0000-0000F2010000}"/>
    <cellStyle name="Normal 5 2 3 2 4 2" xfId="2494" xr:uid="{2C7A1866-8A2E-4010-92C7-C0C7DE1E0A24}"/>
    <cellStyle name="Normal 5 2 3 2 5" xfId="1466" xr:uid="{E1AFF7B3-330F-4BD8-B052-8C10BD2386AB}"/>
    <cellStyle name="Normal 5 2 3 3" xfId="478" xr:uid="{00000000-0005-0000-0000-0000F3010000}"/>
    <cellStyle name="Normal 5 2 3 3 2" xfId="634" xr:uid="{00000000-0005-0000-0000-0000F4010000}"/>
    <cellStyle name="Normal 5 2 3 3 2 2" xfId="845" xr:uid="{00000000-0005-0000-0000-0000F5010000}"/>
    <cellStyle name="Normal 5 2 3 3 2 2 2" xfId="2901" xr:uid="{0F56C0AF-CA59-4436-857F-0B1268BA61B4}"/>
    <cellStyle name="Normal 5 2 3 3 2 2 3" xfId="2063" xr:uid="{12385839-BA24-4D08-81E4-A783971D5A87}"/>
    <cellStyle name="Normal 5 2 3 3 2 3" xfId="2497" xr:uid="{551F0BFE-190C-494C-B003-793F511C8BF2}"/>
    <cellStyle name="Normal 5 2 3 3 2 4" xfId="1469" xr:uid="{01B1780D-BDE4-4010-B61A-A998E93BBD32}"/>
    <cellStyle name="Normal 5 2 3 3 3" xfId="739" xr:uid="{00000000-0005-0000-0000-0000F6010000}"/>
    <cellStyle name="Normal 5 2 3 3 3 2" xfId="2731" xr:uid="{79BA05C8-F209-4AB1-9CE1-D7B73E0290BC}"/>
    <cellStyle name="Normal 5 2 3 3 3 3" xfId="1893" xr:uid="{7960F10D-F398-4F4D-A231-37B96929C42D}"/>
    <cellStyle name="Normal 5 2 3 3 4" xfId="2496" xr:uid="{7FF56824-2E0C-4D6E-9A1F-DFC1080BF221}"/>
    <cellStyle name="Normal 5 2 3 3 5" xfId="1468" xr:uid="{02BBD94B-7AF1-45F0-AD4E-70C9E3534BEA}"/>
    <cellStyle name="Normal 5 2 3 4" xfId="582" xr:uid="{00000000-0005-0000-0000-0000F7010000}"/>
    <cellStyle name="Normal 5 2 3 4 2" xfId="793" xr:uid="{00000000-0005-0000-0000-0000F8010000}"/>
    <cellStyle name="Normal 5 2 3 4 2 2" xfId="2899" xr:uid="{ADE22372-0038-40A4-895E-F773DB310D85}"/>
    <cellStyle name="Normal 5 2 3 4 2 3" xfId="2061" xr:uid="{AE2DB97C-9F42-49C0-9EDF-8F8A786DDEC2}"/>
    <cellStyle name="Normal 5 2 3 4 3" xfId="2498" xr:uid="{A926BB4D-B9D2-4C47-85B9-583224976F78}"/>
    <cellStyle name="Normal 5 2 3 4 4" xfId="1470" xr:uid="{B538ECAA-5D7A-4AC0-9F26-E8D339DDD947}"/>
    <cellStyle name="Normal 5 2 3 5" xfId="687" xr:uid="{00000000-0005-0000-0000-0000F9010000}"/>
    <cellStyle name="Normal 5 2 3 5 2" xfId="2729" xr:uid="{EAB7323E-7677-4D52-8D89-04DCDC32452A}"/>
    <cellStyle name="Normal 5 2 3 5 3" xfId="1891" xr:uid="{9FEE6AA4-4934-498C-8DCB-D3192BCAE884}"/>
    <cellStyle name="Normal 5 2 3 6" xfId="2493" xr:uid="{105B711D-991E-4290-9586-1764A7F6CC66}"/>
    <cellStyle name="Normal 5 2 3 7" xfId="1465" xr:uid="{27DE05A7-9A5F-4965-9ED5-00387DE8D8ED}"/>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2 3" xfId="2902" xr:uid="{F4BEC291-21C4-494A-BE59-8D0FA94FCC46}"/>
    <cellStyle name="Normal 5 2 4 2 2 3" xfId="774" xr:uid="{00000000-0005-0000-0000-0000FF010000}"/>
    <cellStyle name="Normal 5 2 4 2 2 4" xfId="2064" xr:uid="{7040AC77-29E5-423C-9DD2-40D38B367B5D}"/>
    <cellStyle name="Normal 5 2 4 2 3" xfId="617" xr:uid="{00000000-0005-0000-0000-000000020000}"/>
    <cellStyle name="Normal 5 2 4 2 3 2" xfId="828" xr:uid="{00000000-0005-0000-0000-000001020000}"/>
    <cellStyle name="Normal 5 2 4 2 3 3" xfId="2500" xr:uid="{378D6134-7E7D-4CEE-B7AD-FCD4B9ABBFD1}"/>
    <cellStyle name="Normal 5 2 4 2 4" xfId="722" xr:uid="{00000000-0005-0000-0000-000002020000}"/>
    <cellStyle name="Normal 5 2 4 2 5" xfId="1472" xr:uid="{530D4D26-EA88-4A82-8E36-C59BD14D4728}"/>
    <cellStyle name="Normal 5 2 4 3" xfId="487" xr:uid="{00000000-0005-0000-0000-000003020000}"/>
    <cellStyle name="Normal 5 2 4 3 2" xfId="643" xr:uid="{00000000-0005-0000-0000-000004020000}"/>
    <cellStyle name="Normal 5 2 4 3 2 2" xfId="854" xr:uid="{00000000-0005-0000-0000-000005020000}"/>
    <cellStyle name="Normal 5 2 4 3 2 3" xfId="2732" xr:uid="{1B91A9A9-DD9D-47FF-8AA6-FBD83B801D17}"/>
    <cellStyle name="Normal 5 2 4 3 3" xfId="748" xr:uid="{00000000-0005-0000-0000-000006020000}"/>
    <cellStyle name="Normal 5 2 4 3 4" xfId="1894" xr:uid="{5075E8A1-04D4-41A5-92C8-FD152B4753FD}"/>
    <cellStyle name="Normal 5 2 4 4" xfId="591" xr:uid="{00000000-0005-0000-0000-000007020000}"/>
    <cellStyle name="Normal 5 2 4 4 2" xfId="802" xr:uid="{00000000-0005-0000-0000-000008020000}"/>
    <cellStyle name="Normal 5 2 4 4 3" xfId="2499" xr:uid="{7905445C-7173-4222-940D-491365CEC5CC}"/>
    <cellStyle name="Normal 5 2 4 5" xfId="696" xr:uid="{00000000-0005-0000-0000-000009020000}"/>
    <cellStyle name="Normal 5 2 4 6" xfId="1471" xr:uid="{6F816BAF-DC2A-485A-8CE9-011043090C91}"/>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2 2 2" xfId="2903" xr:uid="{BFF5B290-DFE5-4C51-9445-F1BA43F80494}"/>
    <cellStyle name="Normal 5 2 5 2 2 3" xfId="2065" xr:uid="{237DDF50-8DFC-44C5-85FA-F107F8015090}"/>
    <cellStyle name="Normal 5 2 5 2 3" xfId="757" xr:uid="{00000000-0005-0000-0000-00000E020000}"/>
    <cellStyle name="Normal 5 2 5 2 3 2" xfId="2502" xr:uid="{F4AD6C79-4FF5-4886-83EF-DE9948101D29}"/>
    <cellStyle name="Normal 5 2 5 2 4" xfId="1474" xr:uid="{6DF9288D-7D8C-4F63-9814-83BDADC6D391}"/>
    <cellStyle name="Normal 5 2 5 3" xfId="600" xr:uid="{00000000-0005-0000-0000-00000F020000}"/>
    <cellStyle name="Normal 5 2 5 3 2" xfId="811" xr:uid="{00000000-0005-0000-0000-000010020000}"/>
    <cellStyle name="Normal 5 2 5 3 2 2" xfId="2733" xr:uid="{0ED8573C-830C-4EF9-9B77-100A675A52E7}"/>
    <cellStyle name="Normal 5 2 5 3 3" xfId="1895" xr:uid="{C3C9BC4C-5BFE-4DCD-9B9D-7C9DFC32ABBF}"/>
    <cellStyle name="Normal 5 2 5 4" xfId="705" xr:uid="{00000000-0005-0000-0000-000011020000}"/>
    <cellStyle name="Normal 5 2 5 4 2" xfId="2501" xr:uid="{C3C45496-005B-4DCE-98F4-8BE72951ACFE}"/>
    <cellStyle name="Normal 5 2 5 5" xfId="1473" xr:uid="{47AA79EE-E2E6-4564-B87A-215764F5B752}"/>
    <cellStyle name="Normal 5 2 6" xfId="470" xr:uid="{00000000-0005-0000-0000-000012020000}"/>
    <cellStyle name="Normal 5 2 6 2" xfId="626" xr:uid="{00000000-0005-0000-0000-000013020000}"/>
    <cellStyle name="Normal 5 2 6 2 2" xfId="837" xr:uid="{00000000-0005-0000-0000-000014020000}"/>
    <cellStyle name="Normal 5 2 6 2 2 2" xfId="2892" xr:uid="{7E95CE7B-C326-4140-8E46-BCEE04FAC4E8}"/>
    <cellStyle name="Normal 5 2 6 2 3" xfId="2054" xr:uid="{94D1054A-7A84-43AD-AF06-243A17622208}"/>
    <cellStyle name="Normal 5 2 6 3" xfId="731" xr:uid="{00000000-0005-0000-0000-000015020000}"/>
    <cellStyle name="Normal 5 2 6 3 2" xfId="2503" xr:uid="{8B95027A-D8AD-446D-A18A-AD34CAD77CAC}"/>
    <cellStyle name="Normal 5 2 6 4" xfId="1475" xr:uid="{9C6705D3-00CD-4073-8793-4FD00BCAA3D2}"/>
    <cellStyle name="Normal 5 2 7" xfId="574" xr:uid="{00000000-0005-0000-0000-000016020000}"/>
    <cellStyle name="Normal 5 2 7 2" xfId="785" xr:uid="{00000000-0005-0000-0000-000017020000}"/>
    <cellStyle name="Normal 5 2 7 2 2" xfId="2722" xr:uid="{AB4D8A44-93B5-4874-9715-752218846DD1}"/>
    <cellStyle name="Normal 5 2 7 3" xfId="1884" xr:uid="{ED964A47-6AE7-4CAC-9F2B-A37C894FB1BE}"/>
    <cellStyle name="Normal 5 2 8" xfId="679" xr:uid="{00000000-0005-0000-0000-000018020000}"/>
    <cellStyle name="Normal 5 2 8 2" xfId="2240" xr:uid="{B0A293CB-FF2D-4A5D-93F3-5E715A409691}"/>
    <cellStyle name="Normal 5 2 9" xfId="2480" xr:uid="{0BD1D395-D750-4B79-BDC3-2221C8B12C4C}"/>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2 2 2" xfId="2905" xr:uid="{1462914D-4CA3-432E-A2B7-5BC1BCCE89C7}"/>
    <cellStyle name="Normal 5 3 2 2 2 2 3" xfId="2067" xr:uid="{E09FFE0B-2777-461D-9899-21B44832AC8F}"/>
    <cellStyle name="Normal 5 3 2 2 2 3" xfId="767" xr:uid="{00000000-0005-0000-0000-00001F020000}"/>
    <cellStyle name="Normal 5 3 2 2 2 3 2" xfId="2506" xr:uid="{34FEC0F5-93DF-4135-A598-DEB93123A834}"/>
    <cellStyle name="Normal 5 3 2 2 2 4" xfId="1479" xr:uid="{BF14F7C7-5188-4CAC-9026-E329AC71FA27}"/>
    <cellStyle name="Normal 5 3 2 2 3" xfId="610" xr:uid="{00000000-0005-0000-0000-000020020000}"/>
    <cellStyle name="Normal 5 3 2 2 3 2" xfId="821" xr:uid="{00000000-0005-0000-0000-000021020000}"/>
    <cellStyle name="Normal 5 3 2 2 3 2 2" xfId="2735" xr:uid="{7007D841-94B8-4517-85FD-74259C3FBFD4}"/>
    <cellStyle name="Normal 5 3 2 2 3 3" xfId="1897" xr:uid="{557C8FD9-C67B-4272-957D-5F83EF5628CF}"/>
    <cellStyle name="Normal 5 3 2 2 4" xfId="715" xr:uid="{00000000-0005-0000-0000-000022020000}"/>
    <cellStyle name="Normal 5 3 2 2 4 2" xfId="2505" xr:uid="{C7B56D19-68FF-4E15-8FDF-15185B913AA5}"/>
    <cellStyle name="Normal 5 3 2 2 5" xfId="1478" xr:uid="{4D30AA7A-F3F3-4D69-9DC4-39729FB3F0BD}"/>
    <cellStyle name="Normal 5 3 2 3" xfId="480" xr:uid="{00000000-0005-0000-0000-000023020000}"/>
    <cellStyle name="Normal 5 3 2 3 2" xfId="636" xr:uid="{00000000-0005-0000-0000-000024020000}"/>
    <cellStyle name="Normal 5 3 2 3 2 2" xfId="847" xr:uid="{00000000-0005-0000-0000-000025020000}"/>
    <cellStyle name="Normal 5 3 2 3 2 2 2" xfId="2906" xr:uid="{80190684-EBC7-4C91-819E-DDF479576E7C}"/>
    <cellStyle name="Normal 5 3 2 3 2 2 3" xfId="2068" xr:uid="{15C865CF-3A72-4D3A-989D-60920341CAD2}"/>
    <cellStyle name="Normal 5 3 2 3 2 3" xfId="2508" xr:uid="{88F943E9-7A07-44A8-852C-1F0A30D2836B}"/>
    <cellStyle name="Normal 5 3 2 3 2 4" xfId="1481" xr:uid="{32AFD444-0CA0-472D-BDF3-A537E1177792}"/>
    <cellStyle name="Normal 5 3 2 3 3" xfId="741" xr:uid="{00000000-0005-0000-0000-000026020000}"/>
    <cellStyle name="Normal 5 3 2 3 3 2" xfId="2736" xr:uid="{375AA0D8-A473-4155-AB4A-E537C10C84AA}"/>
    <cellStyle name="Normal 5 3 2 3 3 3" xfId="1898" xr:uid="{72881647-2160-406C-83D5-018A9FCA8947}"/>
    <cellStyle name="Normal 5 3 2 3 4" xfId="2507" xr:uid="{E474728F-4506-4CE4-B5E8-E52249709289}"/>
    <cellStyle name="Normal 5 3 2 3 5" xfId="1480" xr:uid="{76DE6850-9618-48F4-85E1-CB17C4019CD6}"/>
    <cellStyle name="Normal 5 3 2 4" xfId="584" xr:uid="{00000000-0005-0000-0000-000027020000}"/>
    <cellStyle name="Normal 5 3 2 4 2" xfId="795" xr:uid="{00000000-0005-0000-0000-000028020000}"/>
    <cellStyle name="Normal 5 3 2 4 2 2" xfId="2904" xr:uid="{7B63F3B2-0691-4068-A879-FFF30213A5DF}"/>
    <cellStyle name="Normal 5 3 2 4 2 3" xfId="2066" xr:uid="{F368123C-949C-4E23-8F48-A38105BB4DC5}"/>
    <cellStyle name="Normal 5 3 2 4 3" xfId="2509" xr:uid="{DE1A5BA0-F39C-4CC6-8BF5-BEEAA0495509}"/>
    <cellStyle name="Normal 5 3 2 4 4" xfId="1482" xr:uid="{36C985FA-7A32-4D02-AB97-BDDCDC0BA53C}"/>
    <cellStyle name="Normal 5 3 2 5" xfId="689" xr:uid="{00000000-0005-0000-0000-000029020000}"/>
    <cellStyle name="Normal 5 3 2 5 2" xfId="2734" xr:uid="{1AD61E4E-A58E-4CD7-942C-8F46BAAEF4D6}"/>
    <cellStyle name="Normal 5 3 2 5 3" xfId="1896" xr:uid="{CEAD9501-2DAE-4A50-9098-86D9691B05F4}"/>
    <cellStyle name="Normal 5 3 2 6" xfId="2504" xr:uid="{9F90B0C3-F749-44E7-BD2D-494D21FFD158}"/>
    <cellStyle name="Normal 5 3 2 7" xfId="1477" xr:uid="{A49D2BAE-4F77-4B6C-9AFB-584269182511}"/>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2 3" xfId="2907" xr:uid="{FED92EFF-F004-4AB8-A43E-9F87207F2477}"/>
    <cellStyle name="Normal 5 3 3 2 2 3" xfId="776" xr:uid="{00000000-0005-0000-0000-00002F020000}"/>
    <cellStyle name="Normal 5 3 3 2 2 4" xfId="2069" xr:uid="{9E8B92A4-0A24-448A-852A-61045F3C596D}"/>
    <cellStyle name="Normal 5 3 3 2 3" xfId="619" xr:uid="{00000000-0005-0000-0000-000030020000}"/>
    <cellStyle name="Normal 5 3 3 2 3 2" xfId="830" xr:uid="{00000000-0005-0000-0000-000031020000}"/>
    <cellStyle name="Normal 5 3 3 2 3 3" xfId="2511" xr:uid="{024C6A05-0961-4FC3-A988-0B39742B3598}"/>
    <cellStyle name="Normal 5 3 3 2 4" xfId="724" xr:uid="{00000000-0005-0000-0000-000032020000}"/>
    <cellStyle name="Normal 5 3 3 2 5" xfId="1484" xr:uid="{43A2333E-70CD-4505-8A17-87D483D1A922}"/>
    <cellStyle name="Normal 5 3 3 3" xfId="489" xr:uid="{00000000-0005-0000-0000-000033020000}"/>
    <cellStyle name="Normal 5 3 3 3 2" xfId="645" xr:uid="{00000000-0005-0000-0000-000034020000}"/>
    <cellStyle name="Normal 5 3 3 3 2 2" xfId="856" xr:uid="{00000000-0005-0000-0000-000035020000}"/>
    <cellStyle name="Normal 5 3 3 3 2 3" xfId="2737" xr:uid="{BB94A5AA-624C-4B1D-AB1B-207FE5713B44}"/>
    <cellStyle name="Normal 5 3 3 3 3" xfId="750" xr:uid="{00000000-0005-0000-0000-000036020000}"/>
    <cellStyle name="Normal 5 3 3 3 4" xfId="1899" xr:uid="{DB271AFA-8958-463E-9AD1-F485EBEA4ED2}"/>
    <cellStyle name="Normal 5 3 3 4" xfId="593" xr:uid="{00000000-0005-0000-0000-000037020000}"/>
    <cellStyle name="Normal 5 3 3 4 2" xfId="804" xr:uid="{00000000-0005-0000-0000-000038020000}"/>
    <cellStyle name="Normal 5 3 3 4 3" xfId="2510" xr:uid="{CC5DF59F-77FA-404B-B029-61BBD5AA8FD3}"/>
    <cellStyle name="Normal 5 3 3 5" xfId="698" xr:uid="{00000000-0005-0000-0000-000039020000}"/>
    <cellStyle name="Normal 5 3 3 6" xfId="1483" xr:uid="{CC7440F1-8296-4789-86A6-DBE83A3D07BB}"/>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2 2 2" xfId="2908" xr:uid="{BE0A0989-9C7C-40FD-ABA9-2329FDB26A33}"/>
    <cellStyle name="Normal 5 3 4 2 2 3" xfId="2070" xr:uid="{C3E83E2E-3F04-4258-9AC4-1B58536583F4}"/>
    <cellStyle name="Normal 5 3 4 2 3" xfId="759" xr:uid="{00000000-0005-0000-0000-00003E020000}"/>
    <cellStyle name="Normal 5 3 4 2 3 2" xfId="2513" xr:uid="{83F99F57-A20D-47FE-9F4D-E9C0800104CD}"/>
    <cellStyle name="Normal 5 3 4 2 4" xfId="1486" xr:uid="{352165A9-24B5-473A-A091-F65ED06A582B}"/>
    <cellStyle name="Normal 5 3 4 3" xfId="602" xr:uid="{00000000-0005-0000-0000-00003F020000}"/>
    <cellStyle name="Normal 5 3 4 3 2" xfId="813" xr:uid="{00000000-0005-0000-0000-000040020000}"/>
    <cellStyle name="Normal 5 3 4 3 2 2" xfId="2738" xr:uid="{072ABA06-D777-436C-992C-50BF2F955C11}"/>
    <cellStyle name="Normal 5 3 4 3 3" xfId="1900" xr:uid="{1FB3B786-FD6E-4FE1-9937-2F5B17B1FBFE}"/>
    <cellStyle name="Normal 5 3 4 4" xfId="707" xr:uid="{00000000-0005-0000-0000-000041020000}"/>
    <cellStyle name="Normal 5 3 4 4 2" xfId="2512" xr:uid="{504D2D35-891C-4D52-9900-66D415EA56EB}"/>
    <cellStyle name="Normal 5 3 4 5" xfId="1485" xr:uid="{D9C185C2-2A79-4627-A634-AF26022777D6}"/>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3 8" xfId="1476" xr:uid="{C3F50E7A-3478-4DC5-BA1E-02C9D0E00766}"/>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2 2 2" xfId="2910" xr:uid="{C7DD388E-1F64-4B37-8F30-A539F4B2052E}"/>
    <cellStyle name="Normal 5 4 2 2 2 3" xfId="2072" xr:uid="{F9DB3EE8-0281-47DA-9C51-4378067B762D}"/>
    <cellStyle name="Normal 5 4 2 2 3" xfId="763" xr:uid="{00000000-0005-0000-0000-00004E020000}"/>
    <cellStyle name="Normal 5 4 2 2 3 2" xfId="2516" xr:uid="{9271B195-2F52-4C31-B5C5-FC128F73FD0F}"/>
    <cellStyle name="Normal 5 4 2 2 4" xfId="1489" xr:uid="{F241C311-FF85-44A8-AE00-4BAE74186B2D}"/>
    <cellStyle name="Normal 5 4 2 3" xfId="606" xr:uid="{00000000-0005-0000-0000-00004F020000}"/>
    <cellStyle name="Normal 5 4 2 3 2" xfId="817" xr:uid="{00000000-0005-0000-0000-000050020000}"/>
    <cellStyle name="Normal 5 4 2 3 2 2" xfId="2740" xr:uid="{C223F2EA-3F07-40C4-B9DB-ECCB0616C835}"/>
    <cellStyle name="Normal 5 4 2 3 3" xfId="1902" xr:uid="{066410FA-ADBC-48F0-8790-6132C90ACA5C}"/>
    <cellStyle name="Normal 5 4 2 4" xfId="711" xr:uid="{00000000-0005-0000-0000-000051020000}"/>
    <cellStyle name="Normal 5 4 2 4 2" xfId="2515" xr:uid="{A9192333-71A5-46B8-951E-CE8E503D9410}"/>
    <cellStyle name="Normal 5 4 2 5" xfId="1488" xr:uid="{16EB2FD0-81CA-4228-A80D-1EC951C46819}"/>
    <cellStyle name="Normal 5 4 3" xfId="476" xr:uid="{00000000-0005-0000-0000-000052020000}"/>
    <cellStyle name="Normal 5 4 3 2" xfId="632" xr:uid="{00000000-0005-0000-0000-000053020000}"/>
    <cellStyle name="Normal 5 4 3 2 2" xfId="843" xr:uid="{00000000-0005-0000-0000-000054020000}"/>
    <cellStyle name="Normal 5 4 3 2 2 2" xfId="2911" xr:uid="{67E0E1A1-CF76-42C6-ABE5-322E0C0133B3}"/>
    <cellStyle name="Normal 5 4 3 2 2 3" xfId="2073" xr:uid="{95AC8AD6-C4F2-4E58-8045-1257E1394637}"/>
    <cellStyle name="Normal 5 4 3 2 3" xfId="2518" xr:uid="{92073405-172E-4DED-AE07-3E02CBDABFEF}"/>
    <cellStyle name="Normal 5 4 3 2 4" xfId="1491" xr:uid="{F0930CDE-8ED7-4F50-8BD8-A15A4FD2EA6E}"/>
    <cellStyle name="Normal 5 4 3 3" xfId="737" xr:uid="{00000000-0005-0000-0000-000055020000}"/>
    <cellStyle name="Normal 5 4 3 3 2" xfId="2741" xr:uid="{33FD0741-219E-451D-BAF2-E3C738270A4E}"/>
    <cellStyle name="Normal 5 4 3 3 3" xfId="1903" xr:uid="{D28835A3-66DB-447D-A306-B31935B79B1C}"/>
    <cellStyle name="Normal 5 4 3 4" xfId="2517" xr:uid="{7636130F-C454-48F8-83A7-AA22A7854ACA}"/>
    <cellStyle name="Normal 5 4 3 5" xfId="1490" xr:uid="{268F588D-E882-484F-A634-7BF4FB73BD11}"/>
    <cellStyle name="Normal 5 4 4" xfId="580" xr:uid="{00000000-0005-0000-0000-000056020000}"/>
    <cellStyle name="Normal 5 4 4 2" xfId="791" xr:uid="{00000000-0005-0000-0000-000057020000}"/>
    <cellStyle name="Normal 5 4 4 2 2" xfId="2909" xr:uid="{F1B3D911-7A4D-4D33-932A-2148E35B932F}"/>
    <cellStyle name="Normal 5 4 4 2 3" xfId="2071" xr:uid="{90DE3BFB-F936-4D0A-BD49-412DF87AD4AF}"/>
    <cellStyle name="Normal 5 4 4 3" xfId="2519" xr:uid="{6814017C-57C0-43A6-817B-CE9F052428D8}"/>
    <cellStyle name="Normal 5 4 4 4" xfId="1492" xr:uid="{F447ECC3-C3F3-4636-BC04-E2EA26EE7D7A}"/>
    <cellStyle name="Normal 5 4 5" xfId="685" xr:uid="{00000000-0005-0000-0000-000058020000}"/>
    <cellStyle name="Normal 5 4 5 2" xfId="2739" xr:uid="{92231D32-5EB9-4D24-BA32-648CFFC008A2}"/>
    <cellStyle name="Normal 5 4 5 3" xfId="1901" xr:uid="{30A82EDE-386F-4AA1-AA19-5E0326A9B9B1}"/>
    <cellStyle name="Normal 5 4 6" xfId="2514" xr:uid="{AF37760F-22D0-4079-AFEE-53ACE454A607}"/>
    <cellStyle name="Normal 5 4 7" xfId="1487" xr:uid="{5CC29D29-3D6A-4DCA-BD06-7776078B1745}"/>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2 3" xfId="2912" xr:uid="{FAC68542-9D5A-4ABD-89B3-9DAD38D1AE7B}"/>
    <cellStyle name="Normal 5 5 2 2 3" xfId="772" xr:uid="{00000000-0005-0000-0000-00005E020000}"/>
    <cellStyle name="Normal 5 5 2 2 4" xfId="2074" xr:uid="{CF8E40F2-3337-44ED-867E-43C195C3EB78}"/>
    <cellStyle name="Normal 5 5 2 3" xfId="615" xr:uid="{00000000-0005-0000-0000-00005F020000}"/>
    <cellStyle name="Normal 5 5 2 3 2" xfId="826" xr:uid="{00000000-0005-0000-0000-000060020000}"/>
    <cellStyle name="Normal 5 5 2 3 3" xfId="2521" xr:uid="{6C6AD6E1-4874-4E7F-A3CB-F11D9D03C97A}"/>
    <cellStyle name="Normal 5 5 2 4" xfId="720" xr:uid="{00000000-0005-0000-0000-000061020000}"/>
    <cellStyle name="Normal 5 5 2 5" xfId="1494" xr:uid="{8AD0CF6C-7647-4823-8EA4-1FC1E9A6C3DF}"/>
    <cellStyle name="Normal 5 5 3" xfId="485" xr:uid="{00000000-0005-0000-0000-000062020000}"/>
    <cellStyle name="Normal 5 5 3 2" xfId="641" xr:uid="{00000000-0005-0000-0000-000063020000}"/>
    <cellStyle name="Normal 5 5 3 2 2" xfId="852" xr:uid="{00000000-0005-0000-0000-000064020000}"/>
    <cellStyle name="Normal 5 5 3 2 3" xfId="2742" xr:uid="{21D6E47F-79B8-4BDC-BB46-A14E6024A082}"/>
    <cellStyle name="Normal 5 5 3 3" xfId="746" xr:uid="{00000000-0005-0000-0000-000065020000}"/>
    <cellStyle name="Normal 5 5 3 4" xfId="1904" xr:uid="{D5331FB5-55C0-4466-AF25-13293DFCE74C}"/>
    <cellStyle name="Normal 5 5 4" xfId="589" xr:uid="{00000000-0005-0000-0000-000066020000}"/>
    <cellStyle name="Normal 5 5 4 2" xfId="800" xr:uid="{00000000-0005-0000-0000-000067020000}"/>
    <cellStyle name="Normal 5 5 4 3" xfId="2520" xr:uid="{75A4EAC1-FCA2-4E01-A31D-182C89B3FB30}"/>
    <cellStyle name="Normal 5 5 5" xfId="694" xr:uid="{00000000-0005-0000-0000-000068020000}"/>
    <cellStyle name="Normal 5 5 6" xfId="1493" xr:uid="{0589E20A-E694-4DD2-A0F1-EC4B19B36CB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2 2 2" xfId="2913" xr:uid="{B87F0862-F432-4EDE-B120-34B58D968D55}"/>
    <cellStyle name="Normal 5 6 2 2 3" xfId="2075" xr:uid="{D4B326A8-7A81-44B8-A134-86C56035AD14}"/>
    <cellStyle name="Normal 5 6 2 3" xfId="755" xr:uid="{00000000-0005-0000-0000-00006D020000}"/>
    <cellStyle name="Normal 5 6 2 3 2" xfId="2523" xr:uid="{7844FDEE-F9C8-4E5B-867D-499D80C66FB4}"/>
    <cellStyle name="Normal 5 6 2 4" xfId="1496" xr:uid="{97B75A6C-FE5F-4E28-A126-D413DC7FC06F}"/>
    <cellStyle name="Normal 5 6 3" xfId="598" xr:uid="{00000000-0005-0000-0000-00006E020000}"/>
    <cellStyle name="Normal 5 6 3 2" xfId="809" xr:uid="{00000000-0005-0000-0000-00006F020000}"/>
    <cellStyle name="Normal 5 6 3 2 2" xfId="2743" xr:uid="{F9986922-E9C5-45E0-81D2-10A86938AF85}"/>
    <cellStyle name="Normal 5 6 3 3" xfId="1905" xr:uid="{CE0F1612-016C-401E-A376-2537748F9161}"/>
    <cellStyle name="Normal 5 6 4" xfId="703" xr:uid="{00000000-0005-0000-0000-000070020000}"/>
    <cellStyle name="Normal 5 6 4 2" xfId="2522" xr:uid="{C13A9F9D-A83C-4DF6-B4A2-4C79F614A7E1}"/>
    <cellStyle name="Normal 5 6 5" xfId="1495" xr:uid="{73CD29BA-490F-4735-87FF-525905859A1F}"/>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7 4" xfId="1497" xr:uid="{5098B03F-6A2D-4EE0-BC68-F54757DCDED8}"/>
    <cellStyle name="Normal 5 8" xfId="572" xr:uid="{00000000-0005-0000-0000-000075020000}"/>
    <cellStyle name="Normal 5 8 2" xfId="783" xr:uid="{00000000-0005-0000-0000-000076020000}"/>
    <cellStyle name="Normal 5 8 2 2" xfId="2812" xr:uid="{0EA57876-853F-401D-A5E4-70DD2F355931}"/>
    <cellStyle name="Normal 5 8 2 3" xfId="1974" xr:uid="{6ACA11BA-0DC2-4D9C-9B56-0B67B589ABB9}"/>
    <cellStyle name="Normal 5 8 3" xfId="2524" xr:uid="{8039D7E4-68C7-44BD-91C6-B3D7DE62B34F}"/>
    <cellStyle name="Normal 5 8 4" xfId="1498" xr:uid="{1EAC24C0-7E06-4761-8AE2-8DD9E0CE0352}"/>
    <cellStyle name="Normal 5 9" xfId="677" xr:uid="{00000000-0005-0000-0000-000077020000}"/>
    <cellStyle name="Normal 5 9 2" xfId="2642" xr:uid="{F19C7CE9-04FF-4870-B70E-4182BED088C8}"/>
    <cellStyle name="Normal 5 9 3" xfId="1804" xr:uid="{5BAF390E-0FFB-4949-ADE7-FBCEB345FC9A}"/>
    <cellStyle name="Normal 50" xfId="2193" xr:uid="{4F2DD672-E2AA-4E3A-9D96-86E6E3204156}"/>
    <cellStyle name="Normal 50 2" xfId="3004" xr:uid="{16883C40-8B7D-431A-9F26-A3FBBAC4C40D}"/>
    <cellStyle name="Normal 51" xfId="2187" xr:uid="{0FB9BCFD-4602-4039-AAD6-9A20E5B23E55}"/>
    <cellStyle name="Normal 51 2" xfId="2998" xr:uid="{BD42ACF9-FE2E-4ACC-8F56-00A6FD7B23C1}"/>
    <cellStyle name="Normal 52" xfId="2194" xr:uid="{38252F6D-87E9-47CA-B170-F4FEF42E54A4}"/>
    <cellStyle name="Normal 52 2" xfId="3005" xr:uid="{88180F90-5A28-4687-AD70-8355BF27108A}"/>
    <cellStyle name="Normal 53" xfId="2249" xr:uid="{2BE0F7EB-F0B1-4F53-AD12-7A542DDCF705}"/>
    <cellStyle name="Normal 53 2" xfId="3010" xr:uid="{8B2F7280-15CD-40D9-902D-1A6D7FCBA840}"/>
    <cellStyle name="Normal 54" xfId="2195" xr:uid="{64E29325-9C52-4BC7-83ED-383BD3B788FF}"/>
    <cellStyle name="Normal 54 2" xfId="3006" xr:uid="{0A207D0A-590B-4689-98CD-C31B3FDE2481}"/>
    <cellStyle name="Normal 55" xfId="2251" xr:uid="{DD30FE0E-1D1F-4582-B974-3D2B105ECDFF}"/>
    <cellStyle name="Normal 55 2" xfId="3011" xr:uid="{F872A964-A1B1-4FD5-A8C8-C67C6800E2DE}"/>
    <cellStyle name="Normal 56" xfId="2252" xr:uid="{5BA9D083-19E7-4641-A32A-355526DED581}"/>
    <cellStyle name="Normal 56 2" xfId="3012" xr:uid="{0C64C5EB-622B-45D4-8EA5-0193B8D6AD8F}"/>
    <cellStyle name="Normal 57" xfId="2222" xr:uid="{B5CDCA6B-FAE4-4374-942C-6954A53880E5}"/>
    <cellStyle name="Normal 57 2" xfId="3008" xr:uid="{4D308352-9880-4752-BA07-F21EB58DABAC}"/>
    <cellStyle name="Normal 58" xfId="2248" xr:uid="{B82D9C84-B67A-4737-B85A-595BB733E5E2}"/>
    <cellStyle name="Normal 58 2" xfId="3009" xr:uid="{D0E946F8-2417-498E-B4EB-8143EEC4D475}"/>
    <cellStyle name="Normal 59" xfId="2202" xr:uid="{D1DC36EA-B939-4BB2-B47D-73469B840DE9}"/>
    <cellStyle name="Normal 59 2" xfId="3007" xr:uid="{1CCE8361-45F5-4536-A774-1C37E9926548}"/>
    <cellStyle name="Normal 6" xfId="194" xr:uid="{00000000-0005-0000-0000-000078020000}"/>
    <cellStyle name="Normal 6 2" xfId="286" xr:uid="{00000000-0005-0000-0000-000079020000}"/>
    <cellStyle name="Normal 6 2 2" xfId="2204" xr:uid="{89F3B39F-2B73-44EB-938F-253A2DBA171D}"/>
    <cellStyle name="Normal 6 3" xfId="2241" xr:uid="{92F6EC70-3EEE-4EB1-ACE9-ADBC7D9101FA}"/>
    <cellStyle name="Normal 6 4" xfId="2196" xr:uid="{DCA6CCCF-ECC6-4ECF-B906-FD8CABC3258B}"/>
    <cellStyle name="Normal 6 5" xfId="1499" xr:uid="{07EF34A9-14A9-473B-BB61-793E2ADF0E0B}"/>
    <cellStyle name="Normal 60" xfId="2253" xr:uid="{974A9DE9-5C67-46AA-9D96-70440993F364}"/>
    <cellStyle name="Normal 60 2" xfId="3013" xr:uid="{1E877462-A8BD-4866-BFD9-FA7B201E7160}"/>
    <cellStyle name="Normal 61" xfId="2258" xr:uid="{B5CB05CA-E5F6-4AB7-9619-2B8E410A7F78}"/>
    <cellStyle name="Normal 61 2" xfId="3018" xr:uid="{54CEB182-573E-472A-AC7D-D16190A631D6}"/>
    <cellStyle name="Normal 62" xfId="2256" xr:uid="{7525F1D8-C5A8-49DD-B62A-1033022F9291}"/>
    <cellStyle name="Normal 62 2" xfId="3016" xr:uid="{0EE95083-4A04-4979-BD89-FCA7E3B1040A}"/>
    <cellStyle name="Normal 63" xfId="2259" xr:uid="{1A3F92C2-1DEA-4507-9534-F29D66D62264}"/>
    <cellStyle name="Normal 63 2" xfId="3019" xr:uid="{AA2807D8-CBD7-4ED6-BB30-EA81D67B1BC1}"/>
    <cellStyle name="Normal 64" xfId="2255" xr:uid="{1633A203-7FA1-45F1-A03B-07BF86676F8A}"/>
    <cellStyle name="Normal 64 2" xfId="3015" xr:uid="{9C2A14DB-1559-4875-A7D8-CD75C5474A47}"/>
    <cellStyle name="Normal 65" xfId="2257" xr:uid="{D05FE19A-BDA4-40FA-AA6B-3D27F12F38F5}"/>
    <cellStyle name="Normal 65 2" xfId="3017" xr:uid="{16F79F4D-C435-46A4-8310-C708B3F4D429}"/>
    <cellStyle name="Normal 66" xfId="2260" xr:uid="{0E11A5B7-8A5A-4143-A697-147A64982391}"/>
    <cellStyle name="Normal 66 2" xfId="3020" xr:uid="{35D6B959-91F8-4F2E-BAC7-20325517E3BF}"/>
    <cellStyle name="Normal 67" xfId="2254" xr:uid="{06D28F35-81BA-476F-A760-B3EB2B5DEA2B}"/>
    <cellStyle name="Normal 67 2" xfId="3014" xr:uid="{1E780544-C144-4B3D-90BC-7049AA0D06D1}"/>
    <cellStyle name="Normal 68" xfId="2261" xr:uid="{0B139AA4-6A35-456E-B738-C99A91BB55E7}"/>
    <cellStyle name="Normal 68 2" xfId="3021" xr:uid="{C39F8648-8C63-4B12-B243-587284E48E7D}"/>
    <cellStyle name="Normal 69" xfId="2265" xr:uid="{94548A4C-B5C1-425D-AD33-F96F421F9ADC}"/>
    <cellStyle name="Normal 69 2" xfId="3025" xr:uid="{42765E69-73DD-4C86-8E82-A8A16FA66B2B}"/>
    <cellStyle name="Normal 7" xfId="193" xr:uid="{00000000-0005-0000-0000-00007A020000}"/>
    <cellStyle name="Normal 7 2" xfId="285" xr:uid="{00000000-0005-0000-0000-00007B020000}"/>
    <cellStyle name="Normal 7 2 10" xfId="1501" xr:uid="{3E22D180-AB06-417C-892A-A2A2B4E83A81}"/>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2 2 2" xfId="2918" xr:uid="{72DD0CC9-5FAC-4220-93C1-43EDABBB73E4}"/>
    <cellStyle name="Normal 7 2 2 2 2 2 2 3" xfId="2080" xr:uid="{E1318643-47C0-4C88-9CB1-725229B4C11D}"/>
    <cellStyle name="Normal 7 2 2 2 2 2 3" xfId="2530" xr:uid="{09B2417E-CC8A-4902-8C3F-10772BADE0F6}"/>
    <cellStyle name="Normal 7 2 2 2 2 2 4" xfId="1505" xr:uid="{31DD99B3-9FE1-46B3-B53D-0CB925F5297F}"/>
    <cellStyle name="Normal 7 2 2 2 2 3" xfId="768" xr:uid="{00000000-0005-0000-0000-000081020000}"/>
    <cellStyle name="Normal 7 2 2 2 2 3 2" xfId="2748" xr:uid="{7AFB6E98-2504-4B19-BCC9-8217DD579D72}"/>
    <cellStyle name="Normal 7 2 2 2 2 3 3" xfId="1910" xr:uid="{66327C3C-2E42-4121-A710-E397C9C550C0}"/>
    <cellStyle name="Normal 7 2 2 2 2 4" xfId="2529" xr:uid="{A4B12FEA-FFFE-42E1-931D-6510D30074D8}"/>
    <cellStyle name="Normal 7 2 2 2 2 5" xfId="1504" xr:uid="{49D71751-B5AA-4465-B3E9-9DB538809195}"/>
    <cellStyle name="Normal 7 2 2 2 3" xfId="611" xr:uid="{00000000-0005-0000-0000-000082020000}"/>
    <cellStyle name="Normal 7 2 2 2 3 2" xfId="822" xr:uid="{00000000-0005-0000-0000-000083020000}"/>
    <cellStyle name="Normal 7 2 2 2 3 2 2" xfId="2081" xr:uid="{FFD58D77-E44E-43FC-9D3B-7BCEDA22008D}"/>
    <cellStyle name="Normal 7 2 2 2 3 2 2 2" xfId="2919" xr:uid="{20A18B04-0071-4A2D-9471-D27F1E11D00E}"/>
    <cellStyle name="Normal 7 2 2 2 3 2 3" xfId="2532" xr:uid="{0112B907-AFDF-4CDE-A285-DF5857EA588B}"/>
    <cellStyle name="Normal 7 2 2 2 3 2 4" xfId="1507" xr:uid="{BEA9D9C7-08D8-4160-8EA8-2DF9B7DEF552}"/>
    <cellStyle name="Normal 7 2 2 2 3 3" xfId="1911" xr:uid="{188CEB77-AEE9-4312-BC8C-AEACDDEEA738}"/>
    <cellStyle name="Normal 7 2 2 2 3 3 2" xfId="2749" xr:uid="{533540D2-8E0C-4281-A32F-3EECAFEC08DC}"/>
    <cellStyle name="Normal 7 2 2 2 3 4" xfId="2531" xr:uid="{C0355EF4-579C-4BB1-9DF6-EED1140B4323}"/>
    <cellStyle name="Normal 7 2 2 2 3 5" xfId="1506" xr:uid="{4C7E692D-9197-4C02-A159-F945FB0100E0}"/>
    <cellStyle name="Normal 7 2 2 2 4" xfId="716" xr:uid="{00000000-0005-0000-0000-000084020000}"/>
    <cellStyle name="Normal 7 2 2 2 4 2" xfId="2079" xr:uid="{2736967C-923E-4241-89BA-D27DB61D803E}"/>
    <cellStyle name="Normal 7 2 2 2 4 2 2" xfId="2917" xr:uid="{293AAD51-E6C8-4CE5-8F79-79C8555F157D}"/>
    <cellStyle name="Normal 7 2 2 2 4 3" xfId="2533" xr:uid="{4E0C7ADE-462D-489A-B0FB-F502190D906A}"/>
    <cellStyle name="Normal 7 2 2 2 4 4" xfId="1508" xr:uid="{CBFC41F6-3D98-4F56-87EA-58228CB31555}"/>
    <cellStyle name="Normal 7 2 2 2 5" xfId="1909" xr:uid="{F45D7E83-1C3C-4010-B698-2294F7412AF7}"/>
    <cellStyle name="Normal 7 2 2 2 5 2" xfId="2747" xr:uid="{6CD64317-4E46-4F03-80D3-2AC14B0F8DF1}"/>
    <cellStyle name="Normal 7 2 2 2 6" xfId="2528" xr:uid="{E4B09D5A-DD5F-4147-B159-093FA50905ED}"/>
    <cellStyle name="Normal 7 2 2 2 7" xfId="1503" xr:uid="{8E340732-1F9A-4982-BC44-EBF853C09BCF}"/>
    <cellStyle name="Normal 7 2 2 3" xfId="481" xr:uid="{00000000-0005-0000-0000-000085020000}"/>
    <cellStyle name="Normal 7 2 2 3 2" xfId="637" xr:uid="{00000000-0005-0000-0000-000086020000}"/>
    <cellStyle name="Normal 7 2 2 3 2 2" xfId="848" xr:uid="{00000000-0005-0000-0000-000087020000}"/>
    <cellStyle name="Normal 7 2 2 3 2 2 2" xfId="2920" xr:uid="{D3E03C1C-FFC3-40BA-AFF7-1C4A34CF80AA}"/>
    <cellStyle name="Normal 7 2 2 3 2 2 3" xfId="2082" xr:uid="{E7230597-33AF-4936-8279-8DCA226DD1D3}"/>
    <cellStyle name="Normal 7 2 2 3 2 3" xfId="2535" xr:uid="{B791DECD-F77E-42B7-837E-2E130DDFFA51}"/>
    <cellStyle name="Normal 7 2 2 3 2 4" xfId="1510" xr:uid="{F26D6CDD-9921-411E-AE2B-FB7EAD58BBD6}"/>
    <cellStyle name="Normal 7 2 2 3 3" xfId="742" xr:uid="{00000000-0005-0000-0000-000088020000}"/>
    <cellStyle name="Normal 7 2 2 3 3 2" xfId="2750" xr:uid="{7A3A6583-9421-4C5E-88A7-067FFE3BA592}"/>
    <cellStyle name="Normal 7 2 2 3 3 3" xfId="1912" xr:uid="{CEE145F0-7983-43B5-8747-0FDF7E2F98A5}"/>
    <cellStyle name="Normal 7 2 2 3 4" xfId="2534" xr:uid="{8F8A2865-E778-47FF-B844-4A552EF9043C}"/>
    <cellStyle name="Normal 7 2 2 3 5" xfId="1509" xr:uid="{60CD7728-1148-4724-A65C-1CFAD97C991B}"/>
    <cellStyle name="Normal 7 2 2 4" xfId="585" xr:uid="{00000000-0005-0000-0000-000089020000}"/>
    <cellStyle name="Normal 7 2 2 4 2" xfId="796" xr:uid="{00000000-0005-0000-0000-00008A020000}"/>
    <cellStyle name="Normal 7 2 2 4 2 2" xfId="2083" xr:uid="{9434F960-79CB-485F-81F2-890BF79754DC}"/>
    <cellStyle name="Normal 7 2 2 4 2 2 2" xfId="2921" xr:uid="{6B314D81-AF47-4D22-BC86-95AD5E0AA3C8}"/>
    <cellStyle name="Normal 7 2 2 4 2 3" xfId="2537" xr:uid="{FE6E0B36-BBC0-4119-AA19-6C404D5C92EB}"/>
    <cellStyle name="Normal 7 2 2 4 2 4" xfId="1512" xr:uid="{C179CFD3-D58C-4B81-A729-F7267B3277FB}"/>
    <cellStyle name="Normal 7 2 2 4 3" xfId="1913" xr:uid="{FE8FF2B4-1A6B-4DB5-B870-D28DA542F121}"/>
    <cellStyle name="Normal 7 2 2 4 3 2" xfId="2751" xr:uid="{B5581DF4-127C-4782-AFB3-C7CA62B5034D}"/>
    <cellStyle name="Normal 7 2 2 4 4" xfId="2536" xr:uid="{26B10B33-858E-43EB-A8FD-B81A3ADCD0FB}"/>
    <cellStyle name="Normal 7 2 2 4 5" xfId="1511" xr:uid="{873B1081-45B7-471F-831A-67AFA1DEDC81}"/>
    <cellStyle name="Normal 7 2 2 5" xfId="690" xr:uid="{00000000-0005-0000-0000-00008B020000}"/>
    <cellStyle name="Normal 7 2 2 5 2" xfId="2078" xr:uid="{E9ABF06A-F496-425F-A131-A75277BC9895}"/>
    <cellStyle name="Normal 7 2 2 5 2 2" xfId="2916" xr:uid="{1D9DCEE4-801E-441A-A397-2D2482830C9F}"/>
    <cellStyle name="Normal 7 2 2 5 3" xfId="2538" xr:uid="{7E2EE2A6-D367-42D2-B1C7-DD08AE6732CC}"/>
    <cellStyle name="Normal 7 2 2 5 4" xfId="1513" xr:uid="{729ACD88-BB82-4332-897B-AD17C0FE3876}"/>
    <cellStyle name="Normal 7 2 2 6" xfId="1908" xr:uid="{92FCA010-431D-4F21-9490-F3A78C32733D}"/>
    <cellStyle name="Normal 7 2 2 6 2" xfId="2746" xr:uid="{A862FDCD-E311-4BD1-97CA-AF110E0DD198}"/>
    <cellStyle name="Normal 7 2 2 7" xfId="2527" xr:uid="{C3724462-9953-47AB-9143-2210DB07C7EF}"/>
    <cellStyle name="Normal 7 2 2 8" xfId="1502" xr:uid="{C57153C2-4980-41FE-AB16-4AB389ACB17F}"/>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2 2 2" xfId="2923" xr:uid="{83A15F96-87E5-4084-812F-74D7F6CEB96F}"/>
    <cellStyle name="Normal 7 2 3 2 2 2 3" xfId="2085" xr:uid="{31777AF6-547C-4E22-A7AB-E0CF28F8DFF4}"/>
    <cellStyle name="Normal 7 2 3 2 2 3" xfId="777" xr:uid="{00000000-0005-0000-0000-000091020000}"/>
    <cellStyle name="Normal 7 2 3 2 2 3 2" xfId="2541" xr:uid="{4913081D-7C1E-4062-84B5-469BF379D018}"/>
    <cellStyle name="Normal 7 2 3 2 2 4" xfId="1516" xr:uid="{FC54B5A1-D5F2-48FE-BDC6-64A339EA390B}"/>
    <cellStyle name="Normal 7 2 3 2 3" xfId="620" xr:uid="{00000000-0005-0000-0000-000092020000}"/>
    <cellStyle name="Normal 7 2 3 2 3 2" xfId="831" xr:uid="{00000000-0005-0000-0000-000093020000}"/>
    <cellStyle name="Normal 7 2 3 2 3 2 2" xfId="2753" xr:uid="{448DE24B-D6BF-41E6-828A-EA4A2AD9600F}"/>
    <cellStyle name="Normal 7 2 3 2 3 3" xfId="1915" xr:uid="{C24AB6A7-383C-456C-AC17-B2397BBE2A94}"/>
    <cellStyle name="Normal 7 2 3 2 4" xfId="725" xr:uid="{00000000-0005-0000-0000-000094020000}"/>
    <cellStyle name="Normal 7 2 3 2 4 2" xfId="2540" xr:uid="{D2A14B17-C7BD-4470-A8BA-96E86D15FB76}"/>
    <cellStyle name="Normal 7 2 3 2 5" xfId="1515" xr:uid="{BF3F2EFF-149B-4035-894C-97AAABABCEE1}"/>
    <cellStyle name="Normal 7 2 3 3" xfId="490" xr:uid="{00000000-0005-0000-0000-000095020000}"/>
    <cellStyle name="Normal 7 2 3 3 2" xfId="646" xr:uid="{00000000-0005-0000-0000-000096020000}"/>
    <cellStyle name="Normal 7 2 3 3 2 2" xfId="857" xr:uid="{00000000-0005-0000-0000-000097020000}"/>
    <cellStyle name="Normal 7 2 3 3 2 2 2" xfId="2924" xr:uid="{8669CACD-97C0-4F2C-A5DF-37B5E1DFD095}"/>
    <cellStyle name="Normal 7 2 3 3 2 2 3" xfId="2086" xr:uid="{01BEA39F-33A0-4240-942F-C8B6EB5ED2C8}"/>
    <cellStyle name="Normal 7 2 3 3 2 3" xfId="2543" xr:uid="{C2B9D790-1BA6-4EED-A76D-CE714BBAB8D1}"/>
    <cellStyle name="Normal 7 2 3 3 2 4" xfId="1518" xr:uid="{D4EC1113-F2AE-4915-83B7-548E98C0A128}"/>
    <cellStyle name="Normal 7 2 3 3 3" xfId="751" xr:uid="{00000000-0005-0000-0000-000098020000}"/>
    <cellStyle name="Normal 7 2 3 3 3 2" xfId="2754" xr:uid="{7E627745-8D0E-43B4-BAB6-B73C69804B21}"/>
    <cellStyle name="Normal 7 2 3 3 3 3" xfId="1916" xr:uid="{70DA1A41-615A-47BB-A4C4-B1C7A5ADCB0D}"/>
    <cellStyle name="Normal 7 2 3 3 4" xfId="2542" xr:uid="{6AC7B227-3D74-4D73-B03C-35639078200A}"/>
    <cellStyle name="Normal 7 2 3 3 5" xfId="1517" xr:uid="{4C3E6189-057F-4087-8641-3FA2AC0D4CE0}"/>
    <cellStyle name="Normal 7 2 3 4" xfId="594" xr:uid="{00000000-0005-0000-0000-000099020000}"/>
    <cellStyle name="Normal 7 2 3 4 2" xfId="805" xr:uid="{00000000-0005-0000-0000-00009A020000}"/>
    <cellStyle name="Normal 7 2 3 4 2 2" xfId="2922" xr:uid="{375E5929-7F82-4610-AB35-15D4C1C54328}"/>
    <cellStyle name="Normal 7 2 3 4 2 3" xfId="2084" xr:uid="{18E20465-4FAB-415D-845E-EDAAC833DC99}"/>
    <cellStyle name="Normal 7 2 3 4 3" xfId="2544" xr:uid="{70A44431-884A-4020-8493-ADEFF3C16599}"/>
    <cellStyle name="Normal 7 2 3 4 4" xfId="1519" xr:uid="{FDCABD45-3ECA-4A08-ADB2-912F15EF9D17}"/>
    <cellStyle name="Normal 7 2 3 5" xfId="699" xr:uid="{00000000-0005-0000-0000-00009B020000}"/>
    <cellStyle name="Normal 7 2 3 5 2" xfId="2752" xr:uid="{06637E35-D224-4235-94CE-EE72570AE2CE}"/>
    <cellStyle name="Normal 7 2 3 5 3" xfId="1914" xr:uid="{AFE5FEAF-1A76-463F-B8BD-A09F39426D5C}"/>
    <cellStyle name="Normal 7 2 3 6" xfId="2539" xr:uid="{78AEEC5C-DC44-46F7-90B8-A65071BD1F4B}"/>
    <cellStyle name="Normal 7 2 3 7" xfId="1514" xr:uid="{E544DC39-34B1-48A8-9393-912C107EC011}"/>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2 2 2" xfId="2925" xr:uid="{9B57D398-C0D3-449B-B563-2F97DB90934B}"/>
    <cellStyle name="Normal 7 2 4 2 2 3" xfId="2087" xr:uid="{3A428BD1-ED3A-4B71-9EC1-206B9053BA68}"/>
    <cellStyle name="Normal 7 2 4 2 3" xfId="760" xr:uid="{00000000-0005-0000-0000-0000A0020000}"/>
    <cellStyle name="Normal 7 2 4 2 3 2" xfId="2546" xr:uid="{F4F4B31F-69E9-4405-8C10-D3E35C192C04}"/>
    <cellStyle name="Normal 7 2 4 2 4" xfId="1521" xr:uid="{BF969319-36B5-4D1C-98FD-8A37E544124F}"/>
    <cellStyle name="Normal 7 2 4 3" xfId="603" xr:uid="{00000000-0005-0000-0000-0000A1020000}"/>
    <cellStyle name="Normal 7 2 4 3 2" xfId="814" xr:uid="{00000000-0005-0000-0000-0000A2020000}"/>
    <cellStyle name="Normal 7 2 4 3 2 2" xfId="2755" xr:uid="{DF685F57-1B51-4AFD-A10B-518C9CDEB3F3}"/>
    <cellStyle name="Normal 7 2 4 3 3" xfId="1917" xr:uid="{3ED883D4-9624-4A96-A079-C5C2539B9E09}"/>
    <cellStyle name="Normal 7 2 4 4" xfId="708" xr:uid="{00000000-0005-0000-0000-0000A3020000}"/>
    <cellStyle name="Normal 7 2 4 4 2" xfId="2545" xr:uid="{3ECB07E1-9B22-4756-ABF6-0E9AD6661976}"/>
    <cellStyle name="Normal 7 2 4 5" xfId="1520" xr:uid="{CED3EA18-9883-4629-AFAA-784449E07978}"/>
    <cellStyle name="Normal 7 2 5" xfId="473" xr:uid="{00000000-0005-0000-0000-0000A4020000}"/>
    <cellStyle name="Normal 7 2 5 2" xfId="629" xr:uid="{00000000-0005-0000-0000-0000A5020000}"/>
    <cellStyle name="Normal 7 2 5 2 2" xfId="840" xr:uid="{00000000-0005-0000-0000-0000A6020000}"/>
    <cellStyle name="Normal 7 2 5 2 2 2" xfId="2926" xr:uid="{3A3A3C87-EFF6-4DC2-A262-08432FEA9D72}"/>
    <cellStyle name="Normal 7 2 5 2 2 3" xfId="2088" xr:uid="{B4C340F0-A9AC-4696-BB3F-6562B98633EB}"/>
    <cellStyle name="Normal 7 2 5 2 3" xfId="2548" xr:uid="{0D9B9E60-AE1B-4915-9217-F64E6516FD6A}"/>
    <cellStyle name="Normal 7 2 5 2 4" xfId="1523" xr:uid="{9FBE66B9-775C-4206-BF40-B9B56FA73D9C}"/>
    <cellStyle name="Normal 7 2 5 3" xfId="734" xr:uid="{00000000-0005-0000-0000-0000A7020000}"/>
    <cellStyle name="Normal 7 2 5 3 2" xfId="2756" xr:uid="{7F6D365B-4583-425B-BB28-313855D313C6}"/>
    <cellStyle name="Normal 7 2 5 3 3" xfId="1918" xr:uid="{8B64D760-0759-4739-9FA7-8061387C23A2}"/>
    <cellStyle name="Normal 7 2 5 4" xfId="2547" xr:uid="{F1FB447C-5FB7-45BC-874E-D03AE9B87426}"/>
    <cellStyle name="Normal 7 2 5 5" xfId="1522" xr:uid="{C3483F77-242A-4B7E-AFCB-E80C9D7466C0}"/>
    <cellStyle name="Normal 7 2 6" xfId="577" xr:uid="{00000000-0005-0000-0000-0000A8020000}"/>
    <cellStyle name="Normal 7 2 6 2" xfId="788" xr:uid="{00000000-0005-0000-0000-0000A9020000}"/>
    <cellStyle name="Normal 7 2 6 2 2" xfId="2915" xr:uid="{13B0B70D-88B4-4E92-8EA3-C5A2A5A201E9}"/>
    <cellStyle name="Normal 7 2 6 2 3" xfId="2077" xr:uid="{7C70CBA0-CC29-45BA-88E2-8B4CE3E566EE}"/>
    <cellStyle name="Normal 7 2 6 3" xfId="2549" xr:uid="{3336F64D-C370-457F-B436-CD6AACE2B16D}"/>
    <cellStyle name="Normal 7 2 6 4" xfId="1524" xr:uid="{9E70955A-CC7A-4CBC-A328-998D8D32C397}"/>
    <cellStyle name="Normal 7 2 7" xfId="682" xr:uid="{00000000-0005-0000-0000-0000AA020000}"/>
    <cellStyle name="Normal 7 2 7 2" xfId="2745" xr:uid="{1429E987-9F9C-49B0-BE0C-66A6110FDBC4}"/>
    <cellStyle name="Normal 7 2 7 3" xfId="1907" xr:uid="{DF6487A3-B16C-4763-B277-E14AA969AC6F}"/>
    <cellStyle name="Normal 7 2 8" xfId="2243" xr:uid="{893C0F17-42D6-42EB-A481-B44527DFEA5D}"/>
    <cellStyle name="Normal 7 2 9" xfId="2526" xr:uid="{9388EAAC-FA57-49AC-B418-3E70B450DF63}"/>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3 6" xfId="1525" xr:uid="{89C30F3D-5D83-4DC4-8B7A-1397405C42FE}"/>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4 6" xfId="1526" xr:uid="{3F9DF255-B212-404E-B7E3-F74B39CAE464}"/>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2 3" xfId="2914" xr:uid="{E506C560-97B5-4166-B2AC-533FD9BD7C60}"/>
    <cellStyle name="Normal 7 5 2 3" xfId="756" xr:uid="{00000000-0005-0000-0000-0000CF020000}"/>
    <cellStyle name="Normal 7 5 2 4" xfId="2076" xr:uid="{3953BDF3-BF94-4F7A-AB7E-03C6D4FD3704}"/>
    <cellStyle name="Normal 7 5 3" xfId="599" xr:uid="{00000000-0005-0000-0000-0000D0020000}"/>
    <cellStyle name="Normal 7 5 3 2" xfId="810" xr:uid="{00000000-0005-0000-0000-0000D1020000}"/>
    <cellStyle name="Normal 7 5 3 3" xfId="2550" xr:uid="{1C9155E2-49A2-4AA7-8CF1-B8B1276919B7}"/>
    <cellStyle name="Normal 7 5 4" xfId="704" xr:uid="{00000000-0005-0000-0000-0000D2020000}"/>
    <cellStyle name="Normal 7 5 5" xfId="1527" xr:uid="{D1C42708-A040-476D-A32A-B1E3F5C7A120}"/>
    <cellStyle name="Normal 7 6" xfId="469" xr:uid="{00000000-0005-0000-0000-0000D3020000}"/>
    <cellStyle name="Normal 7 6 2" xfId="625" xr:uid="{00000000-0005-0000-0000-0000D4020000}"/>
    <cellStyle name="Normal 7 6 2 2" xfId="836" xr:uid="{00000000-0005-0000-0000-0000D5020000}"/>
    <cellStyle name="Normal 7 6 2 3" xfId="2744" xr:uid="{A11BA143-981A-443C-88C4-D2F1C2054CCF}"/>
    <cellStyle name="Normal 7 6 3" xfId="730" xr:uid="{00000000-0005-0000-0000-0000D6020000}"/>
    <cellStyle name="Normal 7 6 4" xfId="1906" xr:uid="{A594E3BE-C14F-4B4C-A81E-5438885CB2F4}"/>
    <cellStyle name="Normal 7 7" xfId="573" xr:uid="{00000000-0005-0000-0000-0000D7020000}"/>
    <cellStyle name="Normal 7 7 2" xfId="784" xr:uid="{00000000-0005-0000-0000-0000D8020000}"/>
    <cellStyle name="Normal 7 7 3" xfId="2242" xr:uid="{D13D8FB6-7692-4C7F-A788-4DA09E09AE3A}"/>
    <cellStyle name="Normal 7 8" xfId="678" xr:uid="{00000000-0005-0000-0000-0000D9020000}"/>
    <cellStyle name="Normal 7 8 2" xfId="2525" xr:uid="{307702F0-915A-45DC-8EAA-52BC1DCD88E3}"/>
    <cellStyle name="Normal 7 9" xfId="1500" xr:uid="{D57F8E0A-E2ED-4FC7-A49E-A7169DADE1DC}"/>
    <cellStyle name="Normal 70" xfId="2266" xr:uid="{4D80699D-190B-4EC3-8B1F-6FC1A24BA506}"/>
    <cellStyle name="Normal 70 2" xfId="3026" xr:uid="{CE11F7DD-7FDD-42F1-A6F3-CB646B64CE77}"/>
    <cellStyle name="Normal 71" xfId="2263" xr:uid="{FDE35B72-C261-427A-9BC0-4B0CBC38B2C1}"/>
    <cellStyle name="Normal 71 2" xfId="3023" xr:uid="{3056DC73-458C-48E2-A870-C361A9FAB473}"/>
    <cellStyle name="Normal 72" xfId="2267" xr:uid="{B30D53F8-92F6-486C-B974-E17672AB0310}"/>
    <cellStyle name="Normal 72 2" xfId="3027" xr:uid="{BF4D77F3-96DC-40D4-A52C-E8F4F34628EA}"/>
    <cellStyle name="Normal 73" xfId="2262" xr:uid="{0280285B-24B7-40A2-B35B-224AFD92064C}"/>
    <cellStyle name="Normal 73 2" xfId="3022" xr:uid="{F5BBE184-A9CC-4215-A453-3D5F5123DAA7}"/>
    <cellStyle name="Normal 74" xfId="2264" xr:uid="{FADAF6CE-ABBA-418C-9B01-1C1C76F918A2}"/>
    <cellStyle name="Normal 74 2" xfId="3024" xr:uid="{FB9661B7-E7EF-4297-9B01-ECFBBD25F8A9}"/>
    <cellStyle name="Normal 75" xfId="2270" xr:uid="{AC9CDF47-A781-4CD7-8182-1797A09AA6FE}"/>
    <cellStyle name="Normal 75 2" xfId="3028" xr:uid="{7693C5B5-6614-4053-86FC-8CB65268E388}"/>
    <cellStyle name="Normal 76" xfId="2274" xr:uid="{D1CF41F6-0F9B-46BB-96A9-0715896FB3FE}"/>
    <cellStyle name="Normal 76 2" xfId="3032" xr:uid="{016DFEF8-8D6D-4494-946B-EA27F7564B57}"/>
    <cellStyle name="Normal 77" xfId="2272" xr:uid="{7ADE2F67-3E72-4B54-A080-A52C103C53DD}"/>
    <cellStyle name="Normal 77 2" xfId="3030" xr:uid="{8DB482A4-C732-4FDA-8C8C-7209F0B40011}"/>
    <cellStyle name="Normal 78" xfId="2275" xr:uid="{DBF36640-AC2B-4A0F-9C27-F8FBAFB0BB3F}"/>
    <cellStyle name="Normal 78 2" xfId="3033" xr:uid="{91A91DD0-A065-48EF-BDAF-D6D38001E21E}"/>
    <cellStyle name="Normal 79" xfId="2271" xr:uid="{0B0B58F9-0271-49B9-B3E2-29A6FBFC9F5F}"/>
    <cellStyle name="Normal 79 2" xfId="3029" xr:uid="{7FD78583-AD1C-446C-B055-AD2C873345D6}"/>
    <cellStyle name="Normal 8" xfId="240" xr:uid="{00000000-0005-0000-0000-0000DA020000}"/>
    <cellStyle name="Normal 8 2" xfId="524" xr:uid="{00000000-0005-0000-0000-0000DB020000}"/>
    <cellStyle name="Normal 8 2 2" xfId="1530" xr:uid="{72950C60-50B2-4ADF-B0EE-F61A5A1FDE6F}"/>
    <cellStyle name="Normal 8 2 2 2" xfId="1531" xr:uid="{C0E26989-9E68-4542-A678-F17E9D7539ED}"/>
    <cellStyle name="Normal 8 2 2 2 2" xfId="2091" xr:uid="{14C28E59-AE5B-4272-89EB-E9E4E455B4FE}"/>
    <cellStyle name="Normal 8 2 2 2 2 2" xfId="2929" xr:uid="{293E9B8B-DD9A-4F74-87F5-2A625CCD5AD4}"/>
    <cellStyle name="Normal 8 2 2 2 3" xfId="2554" xr:uid="{F10B9456-7231-444D-B946-055649E5F1E1}"/>
    <cellStyle name="Normal 8 2 2 3" xfId="1921" xr:uid="{88D377B0-EFC1-476B-A607-4C1584248006}"/>
    <cellStyle name="Normal 8 2 2 3 2" xfId="2759" xr:uid="{5B58BBF9-03A2-4F04-80CD-00A99E1E8245}"/>
    <cellStyle name="Normal 8 2 2 4" xfId="2553" xr:uid="{7BED0038-A156-4411-BB8D-A4B1B41A8244}"/>
    <cellStyle name="Normal 8 2 3" xfId="1532" xr:uid="{3722C380-EF16-4423-A35B-A67028DB423E}"/>
    <cellStyle name="Normal 8 2 3 2" xfId="1533" xr:uid="{F4E2F80C-B083-4AEB-A61D-5442C5BE37FC}"/>
    <cellStyle name="Normal 8 2 3 2 2" xfId="2092" xr:uid="{991F5F08-5C6C-4DEA-9C07-FEDCB86DC481}"/>
    <cellStyle name="Normal 8 2 3 2 2 2" xfId="2930" xr:uid="{E643B80C-5C39-4C08-B52B-334DCC6C4003}"/>
    <cellStyle name="Normal 8 2 3 2 3" xfId="2556" xr:uid="{6EE82F89-8A9F-4044-A9AB-0E5A080064C3}"/>
    <cellStyle name="Normal 8 2 3 3" xfId="1922" xr:uid="{0B0D46D4-C369-4BD9-8A90-754E20DE686B}"/>
    <cellStyle name="Normal 8 2 3 3 2" xfId="2760" xr:uid="{F24464ED-9587-41BB-A952-6578F8F25107}"/>
    <cellStyle name="Normal 8 2 3 4" xfId="2555" xr:uid="{915E1339-F927-4101-BA61-D216CEDFD08C}"/>
    <cellStyle name="Normal 8 2 4" xfId="1534" xr:uid="{D006C071-D198-49CF-90FC-A96B554E0920}"/>
    <cellStyle name="Normal 8 2 4 2" xfId="2090" xr:uid="{6F538240-B100-4448-8199-26587A0D054F}"/>
    <cellStyle name="Normal 8 2 4 2 2" xfId="2928" xr:uid="{40559DE5-F40F-42DA-8E34-6D9C5B311BCC}"/>
    <cellStyle name="Normal 8 2 4 3" xfId="2557" xr:uid="{69EA9506-9EC8-445E-94A8-7797C51F1D71}"/>
    <cellStyle name="Normal 8 2 5" xfId="1920" xr:uid="{E2EEABFE-CB2A-47BA-A28C-2306E53B78CE}"/>
    <cellStyle name="Normal 8 2 5 2" xfId="2758" xr:uid="{241CD68D-A374-4F8E-A74D-36139FBC7C0B}"/>
    <cellStyle name="Normal 8 2 6" xfId="2245" xr:uid="{993412EA-D78C-47E5-A8B9-7DD005E8613C}"/>
    <cellStyle name="Normal 8 2 7" xfId="2552" xr:uid="{E84FB534-ED10-47AB-B85F-48E2B9DF01E5}"/>
    <cellStyle name="Normal 8 2 8" xfId="1529" xr:uid="{BDB9A11D-A2E9-42F0-852C-4C8FCB2359F7}"/>
    <cellStyle name="Normal 8 3" xfId="1535" xr:uid="{C04C6E3A-CCE5-4C2E-83D9-884E8DE4459E}"/>
    <cellStyle name="Normal 8 3 2" xfId="1536" xr:uid="{0BDF85EE-6D30-4053-B254-622861112A78}"/>
    <cellStyle name="Normal 8 3 2 2" xfId="2093" xr:uid="{B71A621D-6F74-47F4-848C-297E56D49774}"/>
    <cellStyle name="Normal 8 3 2 2 2" xfId="2931" xr:uid="{D3A95855-DB72-4BA0-A612-D54C474C6329}"/>
    <cellStyle name="Normal 8 3 2 3" xfId="2559" xr:uid="{B9E13225-E94F-45BE-A760-A5D10B3C42A5}"/>
    <cellStyle name="Normal 8 3 3" xfId="1923" xr:uid="{47F1BC2B-8B65-45E8-8B4C-02D3B364CA83}"/>
    <cellStyle name="Normal 8 3 3 2" xfId="2761" xr:uid="{C4C74741-79AF-4381-9585-98EADB1DF708}"/>
    <cellStyle name="Normal 8 3 4" xfId="2558" xr:uid="{803D7582-2419-4E06-A526-945DE127505C}"/>
    <cellStyle name="Normal 8 4" xfId="1537" xr:uid="{62CCB820-1721-4617-A7F2-71AC71FF06BB}"/>
    <cellStyle name="Normal 8 4 2" xfId="1538" xr:uid="{F034BD01-9664-473A-9708-BED8DEDE8EA8}"/>
    <cellStyle name="Normal 8 4 2 2" xfId="2094" xr:uid="{8200B082-C132-40A0-8529-5E13A84BA6B6}"/>
    <cellStyle name="Normal 8 4 2 2 2" xfId="2932" xr:uid="{5ECD662D-3F64-47B1-80AC-09BDDD36A49E}"/>
    <cellStyle name="Normal 8 4 2 3" xfId="2561" xr:uid="{083A2605-4306-4547-9C63-09802E48865D}"/>
    <cellStyle name="Normal 8 4 3" xfId="1924" xr:uid="{CCA79CA0-1C31-4160-8CEF-1409DA89ABAF}"/>
    <cellStyle name="Normal 8 4 3 2" xfId="2762" xr:uid="{32BC2F2F-FCC4-4E68-97D9-FF88273FAAF4}"/>
    <cellStyle name="Normal 8 4 4" xfId="2560" xr:uid="{BE65E5DF-355D-4D81-9B0D-0B7CA3A9604D}"/>
    <cellStyle name="Normal 8 5" xfId="1539" xr:uid="{D357DC18-202D-4C6B-BFA4-9487F88D79A5}"/>
    <cellStyle name="Normal 8 5 2" xfId="2089" xr:uid="{DCB062A9-3958-4914-BF81-58513C1CDBC9}"/>
    <cellStyle name="Normal 8 5 2 2" xfId="2927" xr:uid="{39E19137-A659-4DC6-8AE5-10CEECFB1423}"/>
    <cellStyle name="Normal 8 5 3" xfId="2562" xr:uid="{AC260160-43EB-494C-A75C-288D4F505B49}"/>
    <cellStyle name="Normal 8 6" xfId="1919" xr:uid="{275AF734-ED45-4B21-9373-E30F3BA34075}"/>
    <cellStyle name="Normal 8 6 2" xfId="2757" xr:uid="{28A57076-8763-4938-B2B2-FE726F0FC71A}"/>
    <cellStyle name="Normal 8 7" xfId="2244" xr:uid="{1CB932F5-B1EA-42E9-AE20-5F93357BE6FD}"/>
    <cellStyle name="Normal 8 8" xfId="2551" xr:uid="{8481FA03-2E55-4DB2-A3A9-7D12F408A00E}"/>
    <cellStyle name="Normal 8 9" xfId="1528" xr:uid="{DAF95CE8-B2B9-4E00-B32B-705102AA2D3F}"/>
    <cellStyle name="Normal 80" xfId="2273" xr:uid="{72EB945E-EBE6-4538-BFEB-E84CAD76E490}"/>
    <cellStyle name="Normal 80 2" xfId="3031" xr:uid="{4DD2AE72-8EDB-46A3-A0D9-726E03056663}"/>
    <cellStyle name="Normal 81" xfId="2276" xr:uid="{10FB7107-7A28-4DD1-8DAF-BEA8A881779F}"/>
    <cellStyle name="Normal 81 2" xfId="3034" xr:uid="{D218DA3C-129A-4E82-9CDE-AB210449D76C}"/>
    <cellStyle name="Normal 82" xfId="2281" xr:uid="{8F36C532-D61A-4213-8F8A-1C63A054C274}"/>
    <cellStyle name="Normal 82 2" xfId="3039" xr:uid="{183BD7CB-628A-4666-B7F2-53AD66FC7B4D}"/>
    <cellStyle name="Normal 83" xfId="2278" xr:uid="{6D149C46-EE27-4984-9F15-423F3FB04A26}"/>
    <cellStyle name="Normal 83 2" xfId="3036" xr:uid="{01BC8440-4EDC-430D-BEF7-67508EC2E82F}"/>
    <cellStyle name="Normal 84" xfId="2279" xr:uid="{C4A1E058-FE9C-4D90-8C10-93F0CEBA1044}"/>
    <cellStyle name="Normal 84 2" xfId="3037" xr:uid="{FE639C3A-E0C1-44B1-BDB5-1C6601879F85}"/>
    <cellStyle name="Normal 85" xfId="2282" xr:uid="{A7EFF48A-6679-47D8-A94A-4374D8FEE78F}"/>
    <cellStyle name="Normal 85 2" xfId="3040" xr:uid="{343A9326-229E-44D7-A678-36703FD8976C}"/>
    <cellStyle name="Normal 86" xfId="2277" xr:uid="{DACA7568-0341-4B8B-B0F1-2AF05D065473}"/>
    <cellStyle name="Normal 86 2" xfId="3035" xr:uid="{249E05BD-FDBE-4964-BFC0-83CB3E49B60F}"/>
    <cellStyle name="Normal 87" xfId="2280" xr:uid="{18674C10-56D3-41BC-8305-107970233A2C}"/>
    <cellStyle name="Normal 87 2" xfId="3038" xr:uid="{02D14FE3-59F9-4F47-B23D-72C2ACD24945}"/>
    <cellStyle name="Normal 88" xfId="2286" xr:uid="{AD8864C6-6228-4D32-9285-9911577B9A78}"/>
    <cellStyle name="Normal 89" xfId="981" xr:uid="{E22A1F9D-E963-4307-8C4B-0CC408DE39C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2 6" xfId="2205" xr:uid="{BC673DEF-5D04-4C53-A370-7F1FE7659104}"/>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3 6" xfId="2246" xr:uid="{22D0BE96-4F8F-44D9-8F54-F047A2D1D968}"/>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4 5" xfId="2197" xr:uid="{F213F258-85A6-4046-9766-159BA016304C}"/>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 9 8" xfId="1540" xr:uid="{24C5FA95-B10B-4820-A5E7-CE0B32E4875A}"/>
    <cellStyle name="Normal_Funding Shift Table Sample" xfId="67" xr:uid="{00000000-0005-0000-0000-00000C030000}"/>
    <cellStyle name="Note" xfId="68" builtinId="10" customBuiltin="1"/>
    <cellStyle name="Note 2" xfId="186" xr:uid="{00000000-0005-0000-0000-00000E030000}"/>
    <cellStyle name="Note 2 10" xfId="1541" xr:uid="{6017623B-0087-4DF9-945F-8181E1C8AB0A}"/>
    <cellStyle name="Note 2 2" xfId="1542" xr:uid="{74101AC9-D6BB-4657-8E35-78EF3D6EBA41}"/>
    <cellStyle name="Note 2 2 2" xfId="1543" xr:uid="{610E0649-5209-48AB-9CCE-AC054EA499EA}"/>
    <cellStyle name="Note 2 2 3" xfId="2247" xr:uid="{0430E893-0B5A-4D96-8C92-CD285EA7EF6E}"/>
    <cellStyle name="Note 2 2 3 2" xfId="3083" xr:uid="{5B7C99FA-E620-4C4D-B3AE-186C2C4E0182}"/>
    <cellStyle name="Note 2 2 3 3" xfId="3160" xr:uid="{FC163AA7-7B1C-4FD4-9AE7-891C68D4DDF5}"/>
    <cellStyle name="Note 2 2 4" xfId="2203" xr:uid="{F90C3ADD-3E30-4BD0-A7FA-D2D581D69F1D}"/>
    <cellStyle name="Note 2 2 5" xfId="3210" xr:uid="{9DB6F5A5-0373-43C7-9A9B-86074C170CC7}"/>
    <cellStyle name="Note 2 2 6" xfId="3306" xr:uid="{F95AA93A-4B3E-4624-B879-3A93FB5584F4}"/>
    <cellStyle name="Note 2 3" xfId="1544" xr:uid="{0645C1D6-5AD2-46FF-BF23-2DA6F7FAB7E9}"/>
    <cellStyle name="Note 2 3 2" xfId="3289" xr:uid="{5E301530-BA99-425E-9CB3-F17ABE9B97EE}"/>
    <cellStyle name="Note 2 3 3" xfId="3305" xr:uid="{34AB6321-F0EC-4FCD-BF44-2AA822B372C2}"/>
    <cellStyle name="Note 2 4" xfId="1545" xr:uid="{1EAA1B1F-EC7E-4069-A206-D4A0A88FEA78}"/>
    <cellStyle name="Note 2 5" xfId="1546" xr:uid="{EABA095D-DB2E-4DFC-91E5-1FC903C36FE5}"/>
    <cellStyle name="Note 2 6" xfId="1547" xr:uid="{90A2C7B6-CD83-45B3-9A65-C73B7D6BD6E8}"/>
    <cellStyle name="Note 2 6 2" xfId="1973" xr:uid="{2003B62F-18C8-4764-A6E5-B6AF8231496A}"/>
    <cellStyle name="Note 2 6 2 2" xfId="2811" xr:uid="{70B0806F-E723-401F-8B4B-65A8E6CC5463}"/>
    <cellStyle name="Note 2 6 3" xfId="2564" xr:uid="{032EE847-CA45-42B4-9F0B-1622EC1C1455}"/>
    <cellStyle name="Note 2 7" xfId="1803" xr:uid="{100940DF-780D-474C-967A-FCD47220126F}"/>
    <cellStyle name="Note 2 7 2" xfId="2641" xr:uid="{24ECF1FB-E188-4C3B-B897-2B8801A7A91C}"/>
    <cellStyle name="Note 2 8" xfId="2213" xr:uid="{00CD06D3-37B7-41F8-BC9A-5C51953D146F}"/>
    <cellStyle name="Note 2 9" xfId="2563" xr:uid="{699D5530-6D92-432A-942C-76A25756B943}"/>
    <cellStyle name="Note 3" xfId="232" xr:uid="{00000000-0005-0000-0000-00000F030000}"/>
    <cellStyle name="Note 3 2" xfId="2968" xr:uid="{4A229F60-125B-4B8B-A7CE-A088A18AAFA5}"/>
    <cellStyle name="Note 3 3" xfId="2130" xr:uid="{1A1B6121-D8F8-47C7-A8E2-14D921387F04}"/>
    <cellStyle name="Note 4" xfId="278" xr:uid="{00000000-0005-0000-0000-000010030000}"/>
    <cellStyle name="Note 4 2" xfId="2159" xr:uid="{DE8DFE35-9B4C-461A-9270-8ECAFEE000C9}"/>
    <cellStyle name="Note 5" xfId="327" xr:uid="{00000000-0005-0000-0000-000011030000}"/>
    <cellStyle name="Note 5 2" xfId="2173" xr:uid="{2274DBE0-5402-4F9D-A085-23875B90B9BB}"/>
    <cellStyle name="Note 6" xfId="391" xr:uid="{00000000-0005-0000-0000-000012030000}"/>
    <cellStyle name="Note 6 2" xfId="3041" xr:uid="{3F6746C8-F563-4E56-9BBA-CB064F8F92AE}"/>
    <cellStyle name="Note 7" xfId="462" xr:uid="{00000000-0005-0000-0000-000013030000}"/>
    <cellStyle name="Note 7 2" xfId="2283" xr:uid="{111DE793-311B-421A-AD6B-DAAD01151306}"/>
    <cellStyle name="Note 8" xfId="566" xr:uid="{00000000-0005-0000-0000-000014030000}"/>
    <cellStyle name="Output" xfId="69" builtinId="21" customBuiltin="1"/>
    <cellStyle name="Output 2" xfId="187" xr:uid="{00000000-0005-0000-0000-000016030000}"/>
    <cellStyle name="Output 2 2" xfId="1549" xr:uid="{12332D61-2B52-4831-BDEB-9EB7A1EC4913}"/>
    <cellStyle name="Output 2 2 2" xfId="3082" xr:uid="{DCDC1C11-96FD-4E91-BF2E-D2719E759957}"/>
    <cellStyle name="Output 2 2 3" xfId="3134" xr:uid="{5B15CAFE-0139-4819-9FB4-2EB9BE49E2F3}"/>
    <cellStyle name="Output 2 3" xfId="3140" xr:uid="{4C75D20A-9A0C-4A20-85E5-76A759550F36}"/>
    <cellStyle name="Output 2 4" xfId="3304" xr:uid="{46995F99-A8C1-4C47-8966-B59D09B1C165}"/>
    <cellStyle name="Output 2 5" xfId="1548" xr:uid="{32837C36-1F56-484A-85CA-6C75B2E2C5DD}"/>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Output 9" xfId="987" xr:uid="{11AA6DC3-C581-4351-9A44-4F69B969AE09}"/>
    <cellStyle name="Percent" xfId="145" builtinId="5"/>
    <cellStyle name="Percent 10" xfId="1550" xr:uid="{D4DAB724-0A52-4A8E-AE02-61CB1B942485}"/>
    <cellStyle name="Percent 11" xfId="1551" xr:uid="{96C15CF8-9C43-4056-94B3-8007305697BC}"/>
    <cellStyle name="Percent 12" xfId="1552" xr:uid="{1C3DFD2B-827F-43B9-8799-31539230043D}"/>
    <cellStyle name="Percent 12 2" xfId="1553" xr:uid="{496127BC-A9D3-4B0E-AEBB-CEE4CAA1E761}"/>
    <cellStyle name="Percent 12 2 2" xfId="1554" xr:uid="{73CBFB8B-5066-4512-973B-651C955D8747}"/>
    <cellStyle name="Percent 12 3" xfId="1555" xr:uid="{B8DAE92C-771A-4418-BA20-0CE3A19594EF}"/>
    <cellStyle name="Percent 13" xfId="1556" xr:uid="{093453F1-3FDC-438B-8AA2-BD42B6A050FC}"/>
    <cellStyle name="Percent 13 2" xfId="1557" xr:uid="{BCE45CC4-3FF4-4087-90A4-D325958D9BBE}"/>
    <cellStyle name="Percent 14" xfId="1558" xr:uid="{088413F3-70D5-4434-9375-DCB005C2F4EF}"/>
    <cellStyle name="Percent 14 2" xfId="1559" xr:uid="{D4C252CE-DDE7-4F90-94BE-16757D141604}"/>
    <cellStyle name="Percent 15" xfId="1560" xr:uid="{F1DE624D-A2A7-4BB8-AF86-3F9E6ABB79D4}"/>
    <cellStyle name="Percent 15 2" xfId="1561" xr:uid="{98EBE407-CDCA-44BF-BBBB-9D9E5E5FD5A0}"/>
    <cellStyle name="Percent 16" xfId="1562" xr:uid="{6A4B7953-9EAE-4C67-8D25-388C24756C53}"/>
    <cellStyle name="Percent 16 2" xfId="1563" xr:uid="{76D0A8B6-D0C6-4C89-84D9-8C5A29DCACB8}"/>
    <cellStyle name="Percent 17" xfId="1564" xr:uid="{264B25C4-BDB1-4AEA-BE63-820037100440}"/>
    <cellStyle name="Percent 18" xfId="1565" xr:uid="{B3E59EF5-A9CF-434F-BB45-B44AAB034452}"/>
    <cellStyle name="Percent 2" xfId="70" xr:uid="{00000000-0005-0000-0000-00001E030000}"/>
    <cellStyle name="Percent 2 2" xfId="71" xr:uid="{00000000-0005-0000-0000-00001F030000}"/>
    <cellStyle name="Percent 2 2 2" xfId="1566" xr:uid="{3BB80B32-5647-4806-A86B-AC6DD6AACD7E}"/>
    <cellStyle name="Percent 2 2 3" xfId="1567" xr:uid="{3140239D-B432-4886-9633-66EEC9D1FA66}"/>
    <cellStyle name="Percent 2 2 4" xfId="1568" xr:uid="{341C110B-7E75-40E8-B154-D43BF167E460}"/>
    <cellStyle name="Percent 2 3" xfId="1569" xr:uid="{42F3B543-A991-431F-827E-CE56533D98F1}"/>
    <cellStyle name="Percent 2 3 2" xfId="1570" xr:uid="{1762FFA0-0BC1-4D99-A42C-1236A45D2EFD}"/>
    <cellStyle name="Percent 2 3 2 2" xfId="1571" xr:uid="{C79EB223-5805-426C-BB35-7706E5F7597B}"/>
    <cellStyle name="Percent 2 3 3" xfId="1572" xr:uid="{14113FDF-0D0A-4991-87B9-61C0A751C36B}"/>
    <cellStyle name="Percent 2 3 3 2" xfId="1573" xr:uid="{296DB058-A12A-4D86-BCD4-6A01A94CF388}"/>
    <cellStyle name="Percent 2 4" xfId="1574" xr:uid="{FCB857C3-51DD-4BEB-9E4A-1A73B4A2C531}"/>
    <cellStyle name="Percent 2 5" xfId="1575" xr:uid="{BCF03A6B-E5C7-44CA-AD3D-01456C3F2080}"/>
    <cellStyle name="Percent 2 6" xfId="1576" xr:uid="{3EFA2C8F-4E21-4BC9-B66E-B994FF7AB4FD}"/>
    <cellStyle name="Percent 2 7" xfId="1577" xr:uid="{6CFF4594-FD1E-46BC-BC49-74118D216CDB}"/>
    <cellStyle name="Percent 3" xfId="191" xr:uid="{00000000-0005-0000-0000-000020030000}"/>
    <cellStyle name="Percent 3 10" xfId="2565" xr:uid="{C78B9181-CB62-4D64-B701-D49EE1F9C918}"/>
    <cellStyle name="Percent 3 11" xfId="1578" xr:uid="{B88823E0-EA18-4E24-9830-B3B396632CA9}"/>
    <cellStyle name="Percent 3 2" xfId="1579" xr:uid="{999F96B5-2D6E-41B4-9734-419FAB92BD08}"/>
    <cellStyle name="Percent 3 3" xfId="1580" xr:uid="{2402D017-3F67-4BEB-B220-B9D90D240FBF}"/>
    <cellStyle name="Percent 3 4" xfId="1581" xr:uid="{E67718D6-67A6-4F3A-9DB3-4927D2C9BCAE}"/>
    <cellStyle name="Percent 3 5" xfId="1582" xr:uid="{4899E5ED-BC0C-408D-8CF5-7EB4169D4511}"/>
    <cellStyle name="Percent 3 6" xfId="1583" xr:uid="{0A25B061-394A-4B6F-8AED-4E869DB1CB9E}"/>
    <cellStyle name="Percent 3 7" xfId="1584" xr:uid="{0A63A3A5-9DBA-46BB-B317-E2274C733E7A}"/>
    <cellStyle name="Percent 3 7 2" xfId="1976" xr:uid="{92B89357-DFC8-4944-A889-0C99E39A4CCE}"/>
    <cellStyle name="Percent 3 7 2 2" xfId="2814" xr:uid="{EB7CC9A9-80E7-407E-A512-D5B423597609}"/>
    <cellStyle name="Percent 3 7 3" xfId="2566" xr:uid="{31451742-7DC6-435C-B8B5-0303B32A3B89}"/>
    <cellStyle name="Percent 3 8" xfId="1806" xr:uid="{20162927-A4C9-4D3E-BAC6-B316ADBBD940}"/>
    <cellStyle name="Percent 3 8 2" xfId="2644" xr:uid="{893CFA10-C85B-43C7-B2EA-6520240172C9}"/>
    <cellStyle name="Percent 3 9" xfId="2215" xr:uid="{DEB76B9B-C753-4465-B22D-0DFE2C6F6013}"/>
    <cellStyle name="Percent 4" xfId="237" xr:uid="{00000000-0005-0000-0000-000021030000}"/>
    <cellStyle name="Percent 4 2" xfId="1586" xr:uid="{E845FFA4-9F7A-4B13-A76E-E1DA8DDB8BF0}"/>
    <cellStyle name="Percent 4 3" xfId="1587" xr:uid="{65A582C6-7ABD-4D83-A7D2-DB14811CF821}"/>
    <cellStyle name="Percent 4 3 2" xfId="1588" xr:uid="{88B2A3E9-270C-4E66-A923-27A996B2E20C}"/>
    <cellStyle name="Percent 4 4" xfId="1589" xr:uid="{2A3ED891-65B2-4ABD-AA44-53F2E393EEE0}"/>
    <cellStyle name="Percent 4 5" xfId="1585" xr:uid="{A7C45049-355A-4F2B-94DF-3A477E616705}"/>
    <cellStyle name="Percent 5" xfId="283" xr:uid="{00000000-0005-0000-0000-000022030000}"/>
    <cellStyle name="Percent 5 2" xfId="1591" xr:uid="{1047F16F-B11C-42DF-B940-B3DD631E10F7}"/>
    <cellStyle name="Percent 5 3" xfId="1590" xr:uid="{86EDFBF1-C033-44B2-B06D-D72CF190409F}"/>
    <cellStyle name="Percent 6" xfId="332" xr:uid="{00000000-0005-0000-0000-000023030000}"/>
    <cellStyle name="Percent 6 2" xfId="1592" xr:uid="{4BE2B2F8-FDD8-43D9-8E57-A5FB435B64DC}"/>
    <cellStyle name="Percent 7" xfId="396" xr:uid="{00000000-0005-0000-0000-000024030000}"/>
    <cellStyle name="Percent 7 2" xfId="1593" xr:uid="{B81E2ED5-C055-4176-BA1D-50A910B3D2A3}"/>
    <cellStyle name="Percent 8" xfId="467" xr:uid="{00000000-0005-0000-0000-000025030000}"/>
    <cellStyle name="Percent 8 2" xfId="1594" xr:uid="{B4D578DB-71B3-4788-988D-28411C0B2491}"/>
    <cellStyle name="Percent 9" xfId="571" xr:uid="{00000000-0005-0000-0000-000026030000}"/>
    <cellStyle name="Percent 9 2" xfId="1595" xr:uid="{B103B797-D880-487F-B144-E6FF9F61D911}"/>
    <cellStyle name="Percent 9 2 2" xfId="1596" xr:uid="{1723523E-9338-4974-B02A-FD6AC26F7DEF}"/>
    <cellStyle name="Percent 9 3" xfId="1597" xr:uid="{18F2D73E-10B7-4342-AB35-9BA5E880F549}"/>
    <cellStyle name="SAPBEXaggData" xfId="72" xr:uid="{00000000-0005-0000-0000-000027030000}"/>
    <cellStyle name="SAPBEXaggData 2" xfId="1599" xr:uid="{8246A67F-2A2E-4183-A796-E0211397F995}"/>
    <cellStyle name="SAPBEXaggData 2 2" xfId="1600" xr:uid="{D598F2F7-2BC3-4315-B0EA-FB2B2CB63970}"/>
    <cellStyle name="SAPBEXaggData 2 2 2" xfId="1601" xr:uid="{A928C33D-E4B1-4272-A26E-29EAD33D305B}"/>
    <cellStyle name="SAPBEXaggData 2 2 2 2" xfId="3110" xr:uid="{F00A338C-4D75-4652-B483-FB53E17E402C}"/>
    <cellStyle name="SAPBEXaggData 2 2 2 3" xfId="3191" xr:uid="{52A4C16A-2013-4D9A-A647-047877D1DE65}"/>
    <cellStyle name="SAPBEXaggData 2 2 3" xfId="3070" xr:uid="{13B672F4-90F9-412C-BD17-1BA21522297F}"/>
    <cellStyle name="SAPBEXaggData 2 2 4" xfId="3103" xr:uid="{DF52D1D5-9E00-4C7E-8FEF-C0C6E9D7BEF9}"/>
    <cellStyle name="SAPBEXaggData 2 3" xfId="1602" xr:uid="{500FFBCD-24C1-458B-9F59-B59DAF1DAE96}"/>
    <cellStyle name="SAPBEXaggData 2 3 2" xfId="3273" xr:uid="{F4229EF9-3DD2-4F90-8C8C-90C0CDEBFD49}"/>
    <cellStyle name="SAPBEXaggData 2 3 3" xfId="3293" xr:uid="{6BB1E32A-778B-4B86-8D88-B9C2B0D402CA}"/>
    <cellStyle name="SAPBEXaggData 2 4" xfId="3287" xr:uid="{6CFF288F-39BB-434A-8C98-2805E73512EE}"/>
    <cellStyle name="SAPBEXaggData 2 5" xfId="3206" xr:uid="{644FED61-BA6B-4A5E-AA33-6205814F5D8F}"/>
    <cellStyle name="SAPBEXaggData 3" xfId="3245" xr:uid="{728242AD-8B5D-4E50-BBB5-B065C83FF2EE}"/>
    <cellStyle name="SAPBEXaggData 4" xfId="3201" xr:uid="{A77C71DD-4570-4BAC-9C05-724CB39E2C5E}"/>
    <cellStyle name="SAPBEXaggData 5" xfId="1598" xr:uid="{E1FF5564-FEF7-4C2A-9B27-BBAE215AFEFF}"/>
    <cellStyle name="SAPBEXaggDataEmph" xfId="73" xr:uid="{00000000-0005-0000-0000-000028030000}"/>
    <cellStyle name="SAPBEXaggDataEmph 2" xfId="1604" xr:uid="{C041ED9C-9F28-4468-B5C1-72D22BA10D02}"/>
    <cellStyle name="SAPBEXaggDataEmph 2 2" xfId="3190" xr:uid="{C46E27BB-C29E-48C2-868A-A6DAA4F6D3C0}"/>
    <cellStyle name="SAPBEXaggDataEmph 2 3" xfId="3192" xr:uid="{28E75EBD-981B-4129-AF7C-B29C2D926D14}"/>
    <cellStyle name="SAPBEXaggDataEmph 3" xfId="3099" xr:uid="{C7C2DC3E-DA4E-49E4-B079-0049D0BC31C3}"/>
    <cellStyle name="SAPBEXaggDataEmph 4" xfId="3049" xr:uid="{7BA57EA1-81D4-4E58-8420-89E45FC00D4D}"/>
    <cellStyle name="SAPBEXaggDataEmph 5" xfId="1603" xr:uid="{881C820C-6178-48F3-8E60-54F1F6C97600}"/>
    <cellStyle name="SAPBEXaggItem" xfId="74" xr:uid="{00000000-0005-0000-0000-000029030000}"/>
    <cellStyle name="SAPBEXaggItem 2" xfId="1606" xr:uid="{7BFCD200-A5E0-4675-ACF8-F6B9DA2DE596}"/>
    <cellStyle name="SAPBEXaggItem 2 2" xfId="1607" xr:uid="{E655ACAC-0E18-4853-A15C-1BC8852DACB6}"/>
    <cellStyle name="SAPBEXaggItem 2 2 2" xfId="3195" xr:uid="{42BED1E7-B47C-4E0F-A1FB-F12223F5957D}"/>
    <cellStyle name="SAPBEXaggItem 2 2 3" xfId="3275" xr:uid="{52BC7399-2DCD-43D4-96B1-2DD8659D8774}"/>
    <cellStyle name="SAPBEXaggItem 2 3" xfId="1608" xr:uid="{0D70B0D1-0AB2-4DCD-BBBD-EEF863038142}"/>
    <cellStyle name="SAPBEXaggItem 2 3 2" xfId="3119" xr:uid="{96313354-8F6E-4030-A465-08A04381CA26}"/>
    <cellStyle name="SAPBEXaggItem 2 3 3" xfId="3218" xr:uid="{52A69C1D-CF43-4B46-AE33-262E1E8B76AB}"/>
    <cellStyle name="SAPBEXaggItem 2 4" xfId="3286" xr:uid="{90EB2062-5725-4275-9176-EA15E68E4BD0}"/>
    <cellStyle name="SAPBEXaggItem 2 5" xfId="3288" xr:uid="{6146BE98-F930-40D7-83DD-818D855143CE}"/>
    <cellStyle name="SAPBEXaggItem 3" xfId="3128" xr:uid="{832246E8-D2F0-4761-9E6F-60BDD76BE216}"/>
    <cellStyle name="SAPBEXaggItem 4" xfId="3126" xr:uid="{F26EE3E6-78C9-4121-AE8A-C4A698B326F1}"/>
    <cellStyle name="SAPBEXaggItem 5" xfId="1605" xr:uid="{56610863-AF68-4AE6-BF11-A4BD265899BB}"/>
    <cellStyle name="SAPBEXaggItemX" xfId="75" xr:uid="{00000000-0005-0000-0000-00002A030000}"/>
    <cellStyle name="SAPBEXaggItemX 2" xfId="925" xr:uid="{94140530-6253-443E-BEEF-2F6537F93C3D}"/>
    <cellStyle name="SAPBEXaggItemX 2 2" xfId="3059" xr:uid="{E1E2A984-7B7E-4BF0-914F-0E0475E4691D}"/>
    <cellStyle name="SAPBEXaggItemX 2 3" xfId="3292" xr:uid="{8C7FE456-BCBD-40C2-9D1E-07210A2B7076}"/>
    <cellStyle name="SAPBEXaggItemX 2 4" xfId="1610" xr:uid="{79F2AB99-60C5-4453-812C-D9484583766E}"/>
    <cellStyle name="SAPBEXaggItemX 3" xfId="3256" xr:uid="{BEAAB0CF-0165-445B-ACC7-D34A21FE21D0}"/>
    <cellStyle name="SAPBEXaggItemX 4" xfId="3055" xr:uid="{A311F2D3-7405-4FC7-B9CA-0078AD4F458D}"/>
    <cellStyle name="SAPBEXaggItemX 5" xfId="1609" xr:uid="{FF30BE45-0C67-4CD2-9708-14B84A38B8C2}"/>
    <cellStyle name="SAPBEXchaText" xfId="76" xr:uid="{00000000-0005-0000-0000-00002B030000}"/>
    <cellStyle name="SAPBEXchaText 2" xfId="1612" xr:uid="{84FB8BC1-2706-46F0-A936-B722561534E7}"/>
    <cellStyle name="SAPBEXchaText 2 2" xfId="1613" xr:uid="{D21F7AEE-D36A-4319-ACC4-58BC7C887E37}"/>
    <cellStyle name="SAPBEXchaText 2 2 2" xfId="3089" xr:uid="{7AE4E3BE-5910-4127-8673-A5C841D7D275}"/>
    <cellStyle name="SAPBEXchaText 2 2 3" xfId="3149" xr:uid="{18AE778D-965A-4980-9673-7706BC315CC5}"/>
    <cellStyle name="SAPBEXchaText 2 3" xfId="1614" xr:uid="{8FFE5D26-7913-4563-8BE2-5527E54DD550}"/>
    <cellStyle name="SAPBEXchaText 2 3 2" xfId="3177" xr:uid="{33E7CD87-A4DB-466A-9CAC-C5297343D0DD}"/>
    <cellStyle name="SAPBEXchaText 2 3 3" xfId="3135" xr:uid="{9A8C1388-A755-45A6-912B-457B4D74FAF8}"/>
    <cellStyle name="SAPBEXchaText 2 4" xfId="3183" xr:uid="{2B17602C-0541-4D71-94D4-150C8794DA3D}"/>
    <cellStyle name="SAPBEXchaText 2 5" xfId="3166" xr:uid="{39AEFDB2-3B1C-4232-A2C4-572257BD3634}"/>
    <cellStyle name="SAPBEXchaText 3" xfId="3200" xr:uid="{98A03DA7-1924-4C0F-8EB3-A9254319D46B}"/>
    <cellStyle name="SAPBEXchaText 4" xfId="3153" xr:uid="{06A7AF2E-BCE0-4615-BAF0-79F94D6EC11B}"/>
    <cellStyle name="SAPBEXchaText 5" xfId="1611" xr:uid="{A97E2B4A-7B68-4429-9D31-5E2783B1DFCD}"/>
    <cellStyle name="SAPBEXchaText_BW Data" xfId="1615" xr:uid="{7FFAB1AD-AA1B-4BF8-BB16-DBD9B148D02D}"/>
    <cellStyle name="SAPBEXexcBad7" xfId="77" xr:uid="{00000000-0005-0000-0000-00002C030000}"/>
    <cellStyle name="SAPBEXexcBad7 2" xfId="128" xr:uid="{00000000-0005-0000-0000-00002D030000}"/>
    <cellStyle name="SAPBEXexcBad7 2 2" xfId="1618" xr:uid="{DD63D90E-9B66-4028-97E9-A8746000F7B5}"/>
    <cellStyle name="SAPBEXexcBad7 2 2 2" xfId="3173" xr:uid="{CEFA27C0-CE54-4660-B23E-7EC6EB3A3EEB}"/>
    <cellStyle name="SAPBEXexcBad7 2 2 3" xfId="3133" xr:uid="{8AB29BB9-2152-49A9-A6A8-0DD25EF6B026}"/>
    <cellStyle name="SAPBEXexcBad7 2 3" xfId="1619" xr:uid="{B440BB55-A191-412F-ABD4-6DA0F247668A}"/>
    <cellStyle name="SAPBEXexcBad7 2 3 2" xfId="3176" xr:uid="{E6138790-1B52-4FC8-B7BA-72F0D822A019}"/>
    <cellStyle name="SAPBEXexcBad7 2 3 3" xfId="3291" xr:uid="{A3A266D0-C75B-42AF-823E-465BEB283F26}"/>
    <cellStyle name="SAPBEXexcBad7 2 4" xfId="3260" xr:uid="{27F249D8-5F00-40F1-87E3-C3300D3D2620}"/>
    <cellStyle name="SAPBEXexcBad7 2 5" xfId="3272" xr:uid="{C0A00A8B-00F3-4202-B398-6491A2BE9DD7}"/>
    <cellStyle name="SAPBEXexcBad7 2 6" xfId="1617" xr:uid="{11C11065-CC76-433C-B359-D6C2715CC790}"/>
    <cellStyle name="SAPBEXexcBad7 3" xfId="3211" xr:uid="{F3C8E92E-8819-4743-BCE1-0AD817F7E52E}"/>
    <cellStyle name="SAPBEXexcBad7 4" xfId="3088" xr:uid="{7A13A822-974D-4F2D-84C1-7207B518D1F4}"/>
    <cellStyle name="SAPBEXexcBad7 5" xfId="1616" xr:uid="{3A61B751-877F-441F-B6DC-F467DDD1AD75}"/>
    <cellStyle name="SAPBEXexcBad8" xfId="78" xr:uid="{00000000-0005-0000-0000-00002E030000}"/>
    <cellStyle name="SAPBEXexcBad8 2" xfId="129" xr:uid="{00000000-0005-0000-0000-00002F030000}"/>
    <cellStyle name="SAPBEXexcBad8 2 2" xfId="1622" xr:uid="{13380745-8945-4C2C-834F-4F345A49BDA1}"/>
    <cellStyle name="SAPBEXexcBad8 2 2 2" xfId="3175" xr:uid="{643C3F85-DEC1-4961-AE16-30B86F2BFDBA}"/>
    <cellStyle name="SAPBEXexcBad8 2 2 3" xfId="3178" xr:uid="{2F09CD3F-CCCF-4864-AEA1-8FD637D63063}"/>
    <cellStyle name="SAPBEXexcBad8 2 3" xfId="1623" xr:uid="{F07D32CC-997D-4CCD-8AB5-D8E1AE1FF1F3}"/>
    <cellStyle name="SAPBEXexcBad8 2 3 2" xfId="3255" xr:uid="{2D5676DF-AD12-4C52-AD2E-5035FD2CA0CB}"/>
    <cellStyle name="SAPBEXexcBad8 2 3 3" xfId="3122" xr:uid="{23BDE68F-7F44-416C-A9DA-B39651F352B0}"/>
    <cellStyle name="SAPBEXexcBad8 2 4" xfId="3263" xr:uid="{DF67F1D5-9768-4AF7-B64D-74F16281090B}"/>
    <cellStyle name="SAPBEXexcBad8 2 5" xfId="3232" xr:uid="{84D2290F-C3A7-4364-8181-AFC6E88EEE71}"/>
    <cellStyle name="SAPBEXexcBad8 2 6" xfId="1621" xr:uid="{2CBC5F18-CC01-441A-9BA4-8850DE3C6A63}"/>
    <cellStyle name="SAPBEXexcBad8 3" xfId="3093" xr:uid="{B5F4DB96-7581-421F-BE09-085EC0F0D422}"/>
    <cellStyle name="SAPBEXexcBad8 4" xfId="3253" xr:uid="{7F53D327-E6AA-414E-AF67-41CB62F1C57F}"/>
    <cellStyle name="SAPBEXexcBad8 5" xfId="1620" xr:uid="{7C76A88E-D8F6-437D-B967-FD0321CF2DFC}"/>
    <cellStyle name="SAPBEXexcBad9" xfId="79" xr:uid="{00000000-0005-0000-0000-000030030000}"/>
    <cellStyle name="SAPBEXexcBad9 2" xfId="130" xr:uid="{00000000-0005-0000-0000-000031030000}"/>
    <cellStyle name="SAPBEXexcBad9 2 2" xfId="1626" xr:uid="{5C4F350D-CCC4-4BF2-986B-FC6598C20584}"/>
    <cellStyle name="SAPBEXexcBad9 2 2 2" xfId="3171" xr:uid="{3929BEA3-AE48-4168-8238-62625FB0BBE2}"/>
    <cellStyle name="SAPBEXexcBad9 2 2 3" xfId="3220" xr:uid="{C9BBD975-B4ED-4AAF-A4D0-99B1B2C50227}"/>
    <cellStyle name="SAPBEXexcBad9 2 3" xfId="1627" xr:uid="{B02961CA-EFCB-4875-AFAE-C08457194207}"/>
    <cellStyle name="SAPBEXexcBad9 2 3 2" xfId="3046" xr:uid="{D4DB5D2D-EDAD-4D3B-A534-63D2532E558B}"/>
    <cellStyle name="SAPBEXexcBad9 2 3 3" xfId="3217" xr:uid="{86329FE1-FA2B-4E75-8555-8B5DCC80DCAF}"/>
    <cellStyle name="SAPBEXexcBad9 2 4" xfId="3194" xr:uid="{1940D20D-E2D4-489E-B1D3-F424609D0027}"/>
    <cellStyle name="SAPBEXexcBad9 2 5" xfId="3143" xr:uid="{6BCA57DD-4702-4E1B-BC80-9F3FF7697D26}"/>
    <cellStyle name="SAPBEXexcBad9 2 6" xfId="1625" xr:uid="{47586EEB-70F0-4882-B95A-2A769B61D794}"/>
    <cellStyle name="SAPBEXexcBad9 3" xfId="3156" xr:uid="{A05ACD26-1CF0-4752-821E-66F478506893}"/>
    <cellStyle name="SAPBEXexcBad9 4" xfId="3243" xr:uid="{9BAED454-5EFB-4E5B-9CFE-4FDFA10E8EB9}"/>
    <cellStyle name="SAPBEXexcBad9 5" xfId="1624" xr:uid="{5066F295-F30D-4B4C-AF46-3D02AA7F123C}"/>
    <cellStyle name="SAPBEXexcCritical4" xfId="80" xr:uid="{00000000-0005-0000-0000-000032030000}"/>
    <cellStyle name="SAPBEXexcCritical4 2" xfId="131" xr:uid="{00000000-0005-0000-0000-000033030000}"/>
    <cellStyle name="SAPBEXexcCritical4 2 2" xfId="1630" xr:uid="{E92D181D-F0AC-42C1-9D58-0527A7D0B764}"/>
    <cellStyle name="SAPBEXexcCritical4 2 2 2" xfId="3187" xr:uid="{241E9D0C-B01D-4533-B837-CA7B96B730BA}"/>
    <cellStyle name="SAPBEXexcCritical4 2 2 3" xfId="3279" xr:uid="{41D66534-15D0-4034-A7DC-8453030307C9}"/>
    <cellStyle name="SAPBEXexcCritical4 2 3" xfId="1631" xr:uid="{10D59B6A-608F-4E0B-8EB9-046D8EEBFC21}"/>
    <cellStyle name="SAPBEXexcCritical4 2 3 2" xfId="3064" xr:uid="{8966A808-A7DA-4CF9-B3A9-B1FDDE7FB29B}"/>
    <cellStyle name="SAPBEXexcCritical4 2 3 3" xfId="3058" xr:uid="{AF78A8B6-35C7-4136-9FE8-46F501FF0A92}"/>
    <cellStyle name="SAPBEXexcCritical4 2 4" xfId="3157" xr:uid="{C265D26E-82EE-4E15-B6AC-2AB6FE9865E1}"/>
    <cellStyle name="SAPBEXexcCritical4 2 5" xfId="3131" xr:uid="{6E9BD25D-CA92-4C64-9A46-13F61EFAD820}"/>
    <cellStyle name="SAPBEXexcCritical4 2 6" xfId="1629" xr:uid="{1EF9C3D3-1C30-4722-A998-9835764EF207}"/>
    <cellStyle name="SAPBEXexcCritical4 3" xfId="3117" xr:uid="{D04F99AD-0B26-4CC0-846F-700B31D6007A}"/>
    <cellStyle name="SAPBEXexcCritical4 4" xfId="3084" xr:uid="{A09043AB-8DE8-4C4C-845E-69BEB47AAA5D}"/>
    <cellStyle name="SAPBEXexcCritical4 5" xfId="1628" xr:uid="{6C11D61F-CCF3-4C6C-B295-E691AD9A335C}"/>
    <cellStyle name="SAPBEXexcCritical5" xfId="81" xr:uid="{00000000-0005-0000-0000-000034030000}"/>
    <cellStyle name="SAPBEXexcCritical5 2" xfId="132" xr:uid="{00000000-0005-0000-0000-000035030000}"/>
    <cellStyle name="SAPBEXexcCritical5 2 2" xfId="1634" xr:uid="{4E3EC300-E844-44B7-BF16-E60E448A91E2}"/>
    <cellStyle name="SAPBEXexcCritical5 2 2 2" xfId="3170" xr:uid="{535A7E0D-4708-4E12-AB09-A96068CA4669}"/>
    <cellStyle name="SAPBEXexcCritical5 2 2 3" xfId="3268" xr:uid="{639076DC-F045-46B7-8A64-C408B796BA5A}"/>
    <cellStyle name="SAPBEXexcCritical5 2 3" xfId="1635" xr:uid="{0444B89F-6AAD-4FFD-9380-24C96D8E632A}"/>
    <cellStyle name="SAPBEXexcCritical5 2 3 2" xfId="3181" xr:uid="{8DA2C76D-3603-43E3-B9B9-9A3A3EAAD459}"/>
    <cellStyle name="SAPBEXexcCritical5 2 3 3" xfId="3186" xr:uid="{91A26455-F53A-4D4F-8568-EEBB3671584F}"/>
    <cellStyle name="SAPBEXexcCritical5 2 4" xfId="3120" xr:uid="{7DA2E082-ABA2-4B0B-B5DD-046FB52CFF04}"/>
    <cellStyle name="SAPBEXexcCritical5 2 5" xfId="3202" xr:uid="{3E60FAA2-355A-4F2B-A11E-936342ABBA02}"/>
    <cellStyle name="SAPBEXexcCritical5 2 6" xfId="1633" xr:uid="{76AF7256-7E04-42B0-B1CB-A1B62B2D939E}"/>
    <cellStyle name="SAPBEXexcCritical5 3" xfId="3278" xr:uid="{B9776818-624A-4106-9868-0C1A0C4AD335}"/>
    <cellStyle name="SAPBEXexcCritical5 4" xfId="3066" xr:uid="{6F98B9B1-EB13-4F84-84CE-5132936C4AFA}"/>
    <cellStyle name="SAPBEXexcCritical5 5" xfId="1632" xr:uid="{520696D9-1288-4A60-AB3D-7A8520C9C81B}"/>
    <cellStyle name="SAPBEXexcCritical6" xfId="82" xr:uid="{00000000-0005-0000-0000-000036030000}"/>
    <cellStyle name="SAPBEXexcCritical6 2" xfId="133" xr:uid="{00000000-0005-0000-0000-000037030000}"/>
    <cellStyle name="SAPBEXexcCritical6 2 2" xfId="1638" xr:uid="{5FB35506-5396-4FFC-9D16-04B678A10D1D}"/>
    <cellStyle name="SAPBEXexcCritical6 2 2 2" xfId="3048" xr:uid="{4F5BA76D-AED3-4011-AB4D-23AF2B0C54F9}"/>
    <cellStyle name="SAPBEXexcCritical6 2 2 3" xfId="3138" xr:uid="{91DB0BFB-B6F2-43AF-B9D7-6DEDC46C1789}"/>
    <cellStyle name="SAPBEXexcCritical6 2 3" xfId="1639" xr:uid="{AA9489A8-F72C-4664-A223-F36D56B4804F}"/>
    <cellStyle name="SAPBEXexcCritical6 2 3 2" xfId="3074" xr:uid="{D8C71C81-57F3-4977-BCF1-3B6BDBC8CEFE}"/>
    <cellStyle name="SAPBEXexcCritical6 2 3 3" xfId="3051" xr:uid="{FC0A2E2B-027B-4878-BDE3-E5EB94D8453F}"/>
    <cellStyle name="SAPBEXexcCritical6 2 4" xfId="3106" xr:uid="{B258FCF1-CF81-45FF-8856-75FCD82EBD51}"/>
    <cellStyle name="SAPBEXexcCritical6 2 5" xfId="3071" xr:uid="{B397E12C-61C1-4BF4-A31D-7DB15391DD9F}"/>
    <cellStyle name="SAPBEXexcCritical6 2 6" xfId="1637" xr:uid="{DBADD464-E9D8-4FFA-8C6F-6C9E07397993}"/>
    <cellStyle name="SAPBEXexcCritical6 3" xfId="3209" xr:uid="{6120F2CA-1115-4675-B1BA-F246C8B822EC}"/>
    <cellStyle name="SAPBEXexcCritical6 4" xfId="3169" xr:uid="{CE2F60A9-6DC1-41E2-AFCF-AF6F320C4523}"/>
    <cellStyle name="SAPBEXexcCritical6 5" xfId="1636" xr:uid="{42AAD9FE-5F43-4F0B-856A-815D1319F75D}"/>
    <cellStyle name="SAPBEXexcGood1" xfId="83" xr:uid="{00000000-0005-0000-0000-000038030000}"/>
    <cellStyle name="SAPBEXexcGood1 2" xfId="134" xr:uid="{00000000-0005-0000-0000-000039030000}"/>
    <cellStyle name="SAPBEXexcGood1 2 2" xfId="1642" xr:uid="{CCCF8DD3-48A9-48E2-9B13-FED6DC2EAB88}"/>
    <cellStyle name="SAPBEXexcGood1 2 2 2" xfId="3168" xr:uid="{8DD7E45E-2712-4C63-8FCD-3B641107FB68}"/>
    <cellStyle name="SAPBEXexcGood1 2 2 3" xfId="3250" xr:uid="{3A462838-BEAD-47B2-92C8-962EF0BB8034}"/>
    <cellStyle name="SAPBEXexcGood1 2 3" xfId="1643" xr:uid="{4E0ACAC5-6094-48CB-9F1F-DEB6B6399A8B}"/>
    <cellStyle name="SAPBEXexcGood1 2 3 2" xfId="3269" xr:uid="{17283035-CAFC-4D01-8F1B-5321BB5B72F4}"/>
    <cellStyle name="SAPBEXexcGood1 2 3 3" xfId="3236" xr:uid="{07AF9F8C-8D92-4B42-9763-2477AB3960EB}"/>
    <cellStyle name="SAPBEXexcGood1 2 4" xfId="3076" xr:uid="{BA228D25-8D11-4FA9-9745-E16A0C0CB133}"/>
    <cellStyle name="SAPBEXexcGood1 2 5" xfId="3212" xr:uid="{B460CD2F-80BC-4E54-BDEB-F4904EF1E9E2}"/>
    <cellStyle name="SAPBEXexcGood1 2 6" xfId="1641" xr:uid="{0E826CEF-3713-44D0-B5EB-803196A32B33}"/>
    <cellStyle name="SAPBEXexcGood1 3" xfId="3249" xr:uid="{7F68F78E-2F43-4C6C-988E-2CCFC1F91307}"/>
    <cellStyle name="SAPBEXexcGood1 4" xfId="3127" xr:uid="{B0318D05-E042-40AF-AE42-2308ACCE50A3}"/>
    <cellStyle name="SAPBEXexcGood1 5" xfId="1640" xr:uid="{6544DC32-F387-41D8-9B3E-EB9BF2725F9B}"/>
    <cellStyle name="SAPBEXexcGood2" xfId="84" xr:uid="{00000000-0005-0000-0000-00003A030000}"/>
    <cellStyle name="SAPBEXexcGood2 2" xfId="135" xr:uid="{00000000-0005-0000-0000-00003B030000}"/>
    <cellStyle name="SAPBEXexcGood2 2 2" xfId="1646" xr:uid="{B056D4DD-07CF-4183-A50B-DD778ED03B78}"/>
    <cellStyle name="SAPBEXexcGood2 2 2 2" xfId="3154" xr:uid="{1F34EF5A-A9CF-435D-963D-81F45DA5E8B9}"/>
    <cellStyle name="SAPBEXexcGood2 2 2 3" xfId="3118" xr:uid="{FE8306C3-A9C1-4246-9161-697E30C9FB54}"/>
    <cellStyle name="SAPBEXexcGood2 2 3" xfId="1647" xr:uid="{2473FCFE-E1DC-453F-8181-03FD9E3BDE54}"/>
    <cellStyle name="SAPBEXexcGood2 2 3 2" xfId="3270" xr:uid="{B2174A8E-A5DD-4A69-8530-1AAA321F4D91}"/>
    <cellStyle name="SAPBEXexcGood2 2 3 3" xfId="3225" xr:uid="{5777397E-8956-4ADC-9053-991FB2497404}"/>
    <cellStyle name="SAPBEXexcGood2 2 4" xfId="3129" xr:uid="{4E4D8A40-14DB-4FDE-B241-D5E1A3BEAF28}"/>
    <cellStyle name="SAPBEXexcGood2 2 5" xfId="3087" xr:uid="{8E4F3D60-E7E9-42FA-ADF5-7CAD1946D1A9}"/>
    <cellStyle name="SAPBEXexcGood2 2 6" xfId="1645" xr:uid="{E5C11307-DEB0-4D1E-8A3F-851ABD93C9E2}"/>
    <cellStyle name="SAPBEXexcGood2 3" xfId="3267" xr:uid="{6125C4BE-304B-499E-BEB6-74E44473E6C9}"/>
    <cellStyle name="SAPBEXexcGood2 4" xfId="3205" xr:uid="{6A59D1C4-82F1-478C-AD0F-0CA4FBBC8A9E}"/>
    <cellStyle name="SAPBEXexcGood2 5" xfId="1644" xr:uid="{C01ECB1E-F108-4707-BAA2-21BB02687559}"/>
    <cellStyle name="SAPBEXexcGood3" xfId="85" xr:uid="{00000000-0005-0000-0000-00003C030000}"/>
    <cellStyle name="SAPBEXexcGood3 2" xfId="136" xr:uid="{00000000-0005-0000-0000-00003D030000}"/>
    <cellStyle name="SAPBEXexcGood3 2 2" xfId="1650" xr:uid="{A4D61156-F851-4404-970E-002F2FCD6746}"/>
    <cellStyle name="SAPBEXexcGood3 2 2 2" xfId="3282" xr:uid="{50320BD0-FF99-40DE-9491-AC71E0B71E54}"/>
    <cellStyle name="SAPBEXexcGood3 2 2 3" xfId="3251" xr:uid="{E331FDCF-DEE1-4B87-AF4F-33BBDDE408DD}"/>
    <cellStyle name="SAPBEXexcGood3 2 3" xfId="1651" xr:uid="{7E1C8BD4-697A-40D3-BD28-0513C712BF87}"/>
    <cellStyle name="SAPBEXexcGood3 2 3 2" xfId="3246" xr:uid="{980396A0-5E14-4DAA-ADD7-B32E9CD680E2}"/>
    <cellStyle name="SAPBEXexcGood3 2 3 3" xfId="3124" xr:uid="{846BD0DA-2A4F-4A27-A3D1-222BABF0A339}"/>
    <cellStyle name="SAPBEXexcGood3 2 4" xfId="3063" xr:uid="{31E110BC-DAA4-4F81-82B2-0DC73FDD6A7A}"/>
    <cellStyle name="SAPBEXexcGood3 2 5" xfId="3115" xr:uid="{5EF2567F-B64C-4B48-9894-B9E058A273D4}"/>
    <cellStyle name="SAPBEXexcGood3 2 6" xfId="1649" xr:uid="{E35BCF35-6DC0-4F6D-86AE-A309F77FA97A}"/>
    <cellStyle name="SAPBEXexcGood3 3" xfId="3069" xr:uid="{6407E7F9-5EB6-4C10-BAFD-1C8AF442B495}"/>
    <cellStyle name="SAPBEXexcGood3 4" xfId="3164" xr:uid="{1CC7D2F6-EB72-4CBD-BD6B-1D8CE0A52C24}"/>
    <cellStyle name="SAPBEXexcGood3 5" xfId="1648" xr:uid="{8F14273A-1D45-488C-B08E-57660CD41D2B}"/>
    <cellStyle name="SAPBEXfilterDrill" xfId="86" xr:uid="{00000000-0005-0000-0000-00003E030000}"/>
    <cellStyle name="SAPBEXfilterDrill 2" xfId="1653" xr:uid="{AA0948EE-2C35-48BE-B8DA-B4A3832DF3DE}"/>
    <cellStyle name="SAPBEXfilterDrill 2 2" xfId="1654" xr:uid="{8709A415-A95F-4A84-9C6C-568443C19589}"/>
    <cellStyle name="SAPBEXfilterDrill 2 2 2" xfId="3222" xr:uid="{5352647C-02F9-4C50-BA02-4FC69A4DDCBD}"/>
    <cellStyle name="SAPBEXfilterDrill 2 2 3" xfId="3101" xr:uid="{3B442078-63BE-4AEE-96D0-E928A0737388}"/>
    <cellStyle name="SAPBEXfilterDrill 2 3" xfId="1655" xr:uid="{E4714BA9-B7CE-431B-90D2-7B5837BD2C35}"/>
    <cellStyle name="SAPBEXfilterDrill 2 3 2" xfId="3047" xr:uid="{46AD5C18-16D2-4345-9C19-F0F99E64C55C}"/>
    <cellStyle name="SAPBEXfilterDrill 2 3 3" xfId="3174" xr:uid="{09822ECA-A373-4A99-9E60-20A853CC7107}"/>
    <cellStyle name="SAPBEXfilterDrill 2 4" xfId="3136" xr:uid="{DF46AE6B-73F0-43A0-8548-4B85734E9A24}"/>
    <cellStyle name="SAPBEXfilterDrill 2 5" xfId="3112" xr:uid="{C076FA5F-BF2D-4DF0-8B92-561EB2BD1C7D}"/>
    <cellStyle name="SAPBEXfilterDrill 3" xfId="3075" xr:uid="{442107BC-4A92-4792-B707-2B4E74AC37AC}"/>
    <cellStyle name="SAPBEXfilterDrill 4" xfId="3204" xr:uid="{512064FE-81AE-4DED-AC66-7294DEF7C46A}"/>
    <cellStyle name="SAPBEXfilterDrill 5" xfId="1652" xr:uid="{CA55BA2E-CB05-434B-99BA-681A7FBE4E84}"/>
    <cellStyle name="SAPBEXfilterItem" xfId="87" xr:uid="{00000000-0005-0000-0000-00003F030000}"/>
    <cellStyle name="SAPBEXfilterItem 2" xfId="137" xr:uid="{00000000-0005-0000-0000-000040030000}"/>
    <cellStyle name="SAPBEXfilterItem 2 2" xfId="3196" xr:uid="{26DDC478-4B83-40C9-A39F-3DFB8178C2FD}"/>
    <cellStyle name="SAPBEXfilterItem 2 3" xfId="3198" xr:uid="{18D34F26-06AC-4E81-8EBB-36EE3DB2368F}"/>
    <cellStyle name="SAPBEXfilterItem 2 4" xfId="1657" xr:uid="{B3C68D2B-7FF0-4A4F-BE6C-452FFD3B9A86}"/>
    <cellStyle name="SAPBEXfilterItem 3" xfId="3056" xr:uid="{55CFED75-56D0-456E-A9BC-2CB3D061E5F6}"/>
    <cellStyle name="SAPBEXfilterItem 4" xfId="1656" xr:uid="{7BC29FEA-E576-4E4F-B57E-5D6DE5502520}"/>
    <cellStyle name="SAPBEXfilterText" xfId="88" xr:uid="{00000000-0005-0000-0000-000041030000}"/>
    <cellStyle name="SAPBEXfilterText 2" xfId="1659" xr:uid="{2EAFFB29-3F08-4266-9241-CF3B4D1C05DF}"/>
    <cellStyle name="SAPBEXfilterText 2 2" xfId="3203" xr:uid="{EBF5D647-6FFC-4536-B73D-A6D2CE56CD38}"/>
    <cellStyle name="SAPBEXfilterText 2 3" xfId="3280" xr:uid="{202CDC45-E8FE-4DD6-B36E-5ABA6ED71F2F}"/>
    <cellStyle name="SAPBEXfilterText 3" xfId="1658" xr:uid="{2EFFD2FB-4EFF-4BB5-9ECE-E19E93844D9E}"/>
    <cellStyle name="SAPBEXformats" xfId="89" xr:uid="{00000000-0005-0000-0000-000042030000}"/>
    <cellStyle name="SAPBEXformats 2" xfId="138" xr:uid="{00000000-0005-0000-0000-000043030000}"/>
    <cellStyle name="SAPBEXformats 2 2" xfId="1662" xr:uid="{B940E059-2B50-4168-B331-DDEAB57A1B61}"/>
    <cellStyle name="SAPBEXformats 2 2 2" xfId="3240" xr:uid="{5EC3A3D7-F8FF-4731-8DC3-F171D47924F4}"/>
    <cellStyle name="SAPBEXformats 2 2 3" xfId="3223" xr:uid="{C685FAC2-D748-4A2A-BF82-05F7B49B2697}"/>
    <cellStyle name="SAPBEXformats 2 3" xfId="1663" xr:uid="{4ECBCEA1-C1DE-43CA-9D78-A002EE25FEF8}"/>
    <cellStyle name="SAPBEXformats 2 3 2" xfId="3155" xr:uid="{23FFB165-B6F0-4581-893D-729ED88952E7}"/>
    <cellStyle name="SAPBEXformats 2 3 3" xfId="3237" xr:uid="{892E4439-009D-4C49-9C82-117EE0905FB5}"/>
    <cellStyle name="SAPBEXformats 2 4" xfId="3091" xr:uid="{4EE5D656-9808-4C75-8783-D09910C08B48}"/>
    <cellStyle name="SAPBEXformats 2 5" xfId="3182" xr:uid="{9E6AC1C4-FDF9-439F-9C11-65E3810FBF29}"/>
    <cellStyle name="SAPBEXformats 2 6" xfId="1661" xr:uid="{917D38CA-E680-4611-95E8-770B9227277A}"/>
    <cellStyle name="SAPBEXformats 3" xfId="3092" xr:uid="{F8490C7C-FD25-42A3-932C-E6CF57BAE55A}"/>
    <cellStyle name="SAPBEXformats 4" xfId="3185" xr:uid="{099559A9-2D0B-434F-A77C-A1E934A5D2B3}"/>
    <cellStyle name="SAPBEXformats 5" xfId="1660" xr:uid="{EAD56A5B-43C3-43B1-8B8E-3A885F87B1DF}"/>
    <cellStyle name="SAPBEXheaderItem" xfId="90" xr:uid="{00000000-0005-0000-0000-000044030000}"/>
    <cellStyle name="SAPBEXheaderItem 2" xfId="1665" xr:uid="{7BCED91B-E93B-4279-A022-5C096C0E258B}"/>
    <cellStyle name="SAPBEXheaderItem 2 2" xfId="1666" xr:uid="{A110E022-D11E-420C-866B-F2A9DA8C20D3}"/>
    <cellStyle name="SAPBEXheaderItem 2 2 2" xfId="3125" xr:uid="{CDBB871A-AE43-4D8C-9720-6AE11DF21208}"/>
    <cellStyle name="SAPBEXheaderItem 2 2 3" xfId="3277" xr:uid="{CEF6A255-19E9-4B31-B11E-448113DEA785}"/>
    <cellStyle name="SAPBEXheaderItem 2 3" xfId="1667" xr:uid="{73365FD4-F9FB-4AD2-BE01-15C597FDED53}"/>
    <cellStyle name="SAPBEXheaderItem 2 3 2" xfId="3121" xr:uid="{AD57CECD-DB90-43DE-942B-3E41AFAD88EA}"/>
    <cellStyle name="SAPBEXheaderItem 2 3 3" xfId="3096" xr:uid="{40DAB32C-61C6-447C-86D5-175D4A8DB09C}"/>
    <cellStyle name="SAPBEXheaderItem 2 4" xfId="3146" xr:uid="{8EBE583F-0268-48B3-ABB7-26D48B03AA82}"/>
    <cellStyle name="SAPBEXheaderItem 2 5" xfId="3079" xr:uid="{82072485-BD4E-442E-BEDF-A8749C5A7F18}"/>
    <cellStyle name="SAPBEXheaderItem 3" xfId="3235" xr:uid="{D53ABB5E-3643-42E6-9B21-08EEA69DE1EA}"/>
    <cellStyle name="SAPBEXheaderItem 4" xfId="3158" xr:uid="{3DB807E6-BD30-4779-92F2-3B6DCECDC804}"/>
    <cellStyle name="SAPBEXheaderItem 5" xfId="1664" xr:uid="{3FC98029-37DE-49A6-AC7E-ABAEE4420013}"/>
    <cellStyle name="SAPBEXheaderText" xfId="91" xr:uid="{00000000-0005-0000-0000-000045030000}"/>
    <cellStyle name="SAPBEXheaderText 2" xfId="1669" xr:uid="{0E4D9BB7-34C9-4A28-82FD-D244AA8F9CA5}"/>
    <cellStyle name="SAPBEXheaderText 2 2" xfId="1670" xr:uid="{A3FEF62C-79E7-430A-B5C7-5CCE5033C9C2}"/>
    <cellStyle name="SAPBEXheaderText 2 2 2" xfId="3283" xr:uid="{842DAEAC-72B0-4CF8-8AD6-72689CFC7EF5}"/>
    <cellStyle name="SAPBEXheaderText 2 2 3" xfId="3130" xr:uid="{9A8FBC6B-CCFC-4273-B4B0-3A71ACAE7F34}"/>
    <cellStyle name="SAPBEXheaderText 2 3" xfId="1671" xr:uid="{FEA0F069-5E53-45FC-B583-57DCFC6F8D64}"/>
    <cellStyle name="SAPBEXheaderText 2 3 2" xfId="3285" xr:uid="{A25D66E2-9BCA-4761-95A1-FFC09244C22A}"/>
    <cellStyle name="SAPBEXheaderText 2 3 3" xfId="3123" xr:uid="{ED5E1908-D043-40D6-B3FE-C7C82E1ED9ED}"/>
    <cellStyle name="SAPBEXheaderText 2 4" xfId="3233" xr:uid="{1DB7A1FF-F92F-4D76-B70B-C94F977E8EDB}"/>
    <cellStyle name="SAPBEXheaderText 2 5" xfId="3221" xr:uid="{7D6BF8C5-3C2A-483B-9B40-F49916D94FD9}"/>
    <cellStyle name="SAPBEXheaderText 3" xfId="3144" xr:uid="{7B55D53C-9EA3-4CF5-8157-D2F5E09B5BC5}"/>
    <cellStyle name="SAPBEXheaderText 4" xfId="3073" xr:uid="{FD02BF4F-842A-408B-8730-FBFD970C2019}"/>
    <cellStyle name="SAPBEXheaderText 5" xfId="1668" xr:uid="{6B0897FD-BAE9-4299-B132-3D800C1B68F2}"/>
    <cellStyle name="SAPBEXHLevel0" xfId="92" xr:uid="{00000000-0005-0000-0000-000046030000}"/>
    <cellStyle name="SAPBEXHLevel0 2" xfId="933" xr:uid="{138A92E3-7D55-4952-AEFB-C1782E9DFF2F}"/>
    <cellStyle name="SAPBEXHLevel0 2 2" xfId="1674" xr:uid="{36D9D267-5281-46A4-A1DA-573AF10B6BAA}"/>
    <cellStyle name="SAPBEXHLevel0 2 2 2" xfId="3276" xr:uid="{2B5579B0-D920-4A1E-9D1F-6CAA37193063}"/>
    <cellStyle name="SAPBEXHLevel0 2 2 3" xfId="3065" xr:uid="{E914C898-D2BD-4BBF-BB68-AB6CC65734FD}"/>
    <cellStyle name="SAPBEXHLevel0 2 3" xfId="1675" xr:uid="{B27FC2F0-F263-4D18-879B-CF196FB0A6DE}"/>
    <cellStyle name="SAPBEXHLevel0 2 3 2" xfId="3057" xr:uid="{157B5CCA-3C69-47DC-9831-7EB07731AB6B}"/>
    <cellStyle name="SAPBEXHLevel0 2 3 3" xfId="3067" xr:uid="{F6C17396-4025-4F47-9D88-B4D2F7AC8553}"/>
    <cellStyle name="SAPBEXHLevel0 2 4" xfId="3163" xr:uid="{C7A02F57-6BF0-4D0F-A1EF-52AB2D4AC8AD}"/>
    <cellStyle name="SAPBEXHLevel0 2 5" xfId="3234" xr:uid="{37AA15B5-E5C6-44D9-BCE9-E15CB5D70551}"/>
    <cellStyle name="SAPBEXHLevel0 2 6" xfId="1673" xr:uid="{4FFD3559-416C-4418-913E-589139F47BC8}"/>
    <cellStyle name="SAPBEXHLevel0 3" xfId="3054" xr:uid="{5482EA0F-F472-4C49-9A3B-40D951BDFCC5}"/>
    <cellStyle name="SAPBEXHLevel0 4" xfId="3086" xr:uid="{7D43D4A9-CF33-4142-92D2-E01DEE52393D}"/>
    <cellStyle name="SAPBEXHLevel0 5" xfId="1672" xr:uid="{260F3BE1-1942-46A2-A562-B5B766064538}"/>
    <cellStyle name="SAPBEXHLevel0X" xfId="93" xr:uid="{00000000-0005-0000-0000-000047030000}"/>
    <cellStyle name="SAPBEXHLevel0X 2" xfId="934" xr:uid="{813EE4E2-02AD-4BA4-B4E0-FB3EBA2FA67B}"/>
    <cellStyle name="SAPBEXHLevel0X 2 2" xfId="3224" xr:uid="{8F8CCF87-FF13-4FCF-8670-1B867124CC4C}"/>
    <cellStyle name="SAPBEXHLevel0X 2 3" xfId="3219" xr:uid="{D8C54BDF-2670-4CE5-B37F-B38527CA0278}"/>
    <cellStyle name="SAPBEXHLevel0X 2 4" xfId="1677" xr:uid="{32B63010-329F-4D76-8A7F-9FD229022CDF}"/>
    <cellStyle name="SAPBEXHLevel0X 3" xfId="3199" xr:uid="{EEAFB0A1-DEB3-4A98-875C-62B4CB6B81A9}"/>
    <cellStyle name="SAPBEXHLevel0X 4" xfId="3193" xr:uid="{DCBA5B0E-57AA-4F1F-944D-44CB4BBA7ECC}"/>
    <cellStyle name="SAPBEXHLevel0X 5" xfId="1676" xr:uid="{2B51D8E9-D1A4-403B-B2D6-36E138A0549F}"/>
    <cellStyle name="SAPBEXHLevel1" xfId="94" xr:uid="{00000000-0005-0000-0000-000048030000}"/>
    <cellStyle name="SAPBEXHLevel1 2" xfId="935" xr:uid="{1E5748E1-CCDE-447F-A92D-3D37BD09F332}"/>
    <cellStyle name="SAPBEXHLevel1 2 2" xfId="1680" xr:uid="{C106B658-C5B2-4B1E-B2C3-D9120C3D9AC1}"/>
    <cellStyle name="SAPBEXHLevel1 2 2 2" xfId="3188" xr:uid="{A8E64A5C-F606-4A78-8DF1-F7A3EC7F9343}"/>
    <cellStyle name="SAPBEXHLevel1 2 2 3" xfId="3216" xr:uid="{D96BDD4F-CBA9-41F6-AFCD-C9E5F4E88061}"/>
    <cellStyle name="SAPBEXHLevel1 2 3" xfId="1681" xr:uid="{81F47840-BE41-487F-8D39-AC08035EE070}"/>
    <cellStyle name="SAPBEXHLevel1 2 3 2" xfId="3061" xr:uid="{DC77A17B-E078-43F2-8B44-84E2BEF2B92B}"/>
    <cellStyle name="SAPBEXHLevel1 2 3 3" xfId="3179" xr:uid="{1B4A4CE9-03F6-48EE-8A89-03514D11A30B}"/>
    <cellStyle name="SAPBEXHLevel1 2 4" xfId="3226" xr:uid="{8ABAB0FD-D553-443E-A739-3BCA558E441E}"/>
    <cellStyle name="SAPBEXHLevel1 2 5" xfId="3072" xr:uid="{6A09DDA2-6E4D-409D-962E-F08B34156114}"/>
    <cellStyle name="SAPBEXHLevel1 2 6" xfId="1679" xr:uid="{B67C742D-F57F-428E-985D-E5EAFEE208DC}"/>
    <cellStyle name="SAPBEXHLevel1 3" xfId="3281" xr:uid="{BA804709-4A62-4CB3-BA1A-E9A6DDE4BCBF}"/>
    <cellStyle name="SAPBEXHLevel1 4" xfId="3242" xr:uid="{F31E819A-0659-483B-8D96-6110D3190870}"/>
    <cellStyle name="SAPBEXHLevel1 5" xfId="1678" xr:uid="{62258D7D-8031-45D0-90DB-1C1F40C782D3}"/>
    <cellStyle name="SAPBEXHLevel1X" xfId="95" xr:uid="{00000000-0005-0000-0000-000049030000}"/>
    <cellStyle name="SAPBEXHLevel1X 2" xfId="936" xr:uid="{4198AE00-CB9B-4A91-9629-87766F783E40}"/>
    <cellStyle name="SAPBEXHLevel1X 2 2" xfId="3132" xr:uid="{F6549A4C-F75A-40FC-A0C6-95A2F56842B1}"/>
    <cellStyle name="SAPBEXHLevel1X 2 3" xfId="3102" xr:uid="{D401DEA8-3682-4F5A-9E5C-43DD484DBCA8}"/>
    <cellStyle name="SAPBEXHLevel1X 2 4" xfId="1683" xr:uid="{EB5E3A6F-DCF9-4D74-81D2-AB8762A7BC6A}"/>
    <cellStyle name="SAPBEXHLevel1X 3" xfId="3085" xr:uid="{F2A2836D-3FDF-4231-8FF4-02AB8ECB1EBB}"/>
    <cellStyle name="SAPBEXHLevel1X 4" xfId="3264" xr:uid="{63D45063-636F-489B-8378-B22C4F0AD139}"/>
    <cellStyle name="SAPBEXHLevel1X 5" xfId="1682" xr:uid="{7AA82E9D-E1D7-4196-894E-EC1CD17581F1}"/>
    <cellStyle name="SAPBEXHLevel2" xfId="96" xr:uid="{00000000-0005-0000-0000-00004A030000}"/>
    <cellStyle name="SAPBEXHLevel2 2" xfId="937" xr:uid="{112184E3-3731-4B01-B8BE-C6F1F802D2B8}"/>
    <cellStyle name="SAPBEXHLevel2 2 2" xfId="1686" xr:uid="{714145B0-5052-4C76-BFCA-3BD9D4B8FFBF}"/>
    <cellStyle name="SAPBEXHLevel2 2 2 2" xfId="3189" xr:uid="{EE676274-4697-4607-9CAF-9A1815999F54}"/>
    <cellStyle name="SAPBEXHLevel2 2 2 3" xfId="3266" xr:uid="{3EF86291-25F5-4611-B950-C58FB3E48C6B}"/>
    <cellStyle name="SAPBEXHLevel2 2 3" xfId="1687" xr:uid="{F3A6212E-BBDC-41EB-AE04-C8C0D8FB7DD3}"/>
    <cellStyle name="SAPBEXHLevel2 2 3 2" xfId="3152" xr:uid="{7BC8A612-3A88-44FD-BD08-93C1BB2DEDD8}"/>
    <cellStyle name="SAPBEXHLevel2 2 3 3" xfId="3077" xr:uid="{1C8FA20C-B05D-4A71-9B83-0926A2EB85AF}"/>
    <cellStyle name="SAPBEXHLevel2 2 4" xfId="3094" xr:uid="{2187196E-C82C-47D1-84EA-3DF46AABC06A}"/>
    <cellStyle name="SAPBEXHLevel2 2 5" xfId="3197" xr:uid="{12B87643-93D9-4BF2-8E1C-D6B4D2EAD30F}"/>
    <cellStyle name="SAPBEXHLevel2 2 6" xfId="1685" xr:uid="{2D80E795-DAC9-46F1-B95C-C10036BC1501}"/>
    <cellStyle name="SAPBEXHLevel2 3" xfId="3258" xr:uid="{CD214021-66A2-4D77-9F80-FA952FB153DD}"/>
    <cellStyle name="SAPBEXHLevel2 4" xfId="3214" xr:uid="{4461AEE9-A85A-443E-BE2A-40891D7BE9F5}"/>
    <cellStyle name="SAPBEXHLevel2 5" xfId="1684" xr:uid="{2D1B3528-73AD-4F5B-98F1-AAD6A1F325EB}"/>
    <cellStyle name="SAPBEXHLevel2X" xfId="97" xr:uid="{00000000-0005-0000-0000-00004B030000}"/>
    <cellStyle name="SAPBEXHLevel2X 2" xfId="938" xr:uid="{A67F28C8-8B88-4CF6-963E-478BFA3751FA}"/>
    <cellStyle name="SAPBEXHLevel2X 2 2" xfId="3231" xr:uid="{C1CA2D7D-33F5-4B52-B31C-3511AAFC3784}"/>
    <cellStyle name="SAPBEXHLevel2X 2 3" xfId="3161" xr:uid="{47EB5110-FB10-4FB0-B4FB-DAD9B141F86B}"/>
    <cellStyle name="SAPBEXHLevel2X 2 4" xfId="1689" xr:uid="{BDAA82C9-BCFF-408F-9D6B-51E125A3265C}"/>
    <cellStyle name="SAPBEXHLevel2X 3" xfId="3139" xr:uid="{BBF79FAF-D7FA-4F3D-AFB8-A253EAB0BBEE}"/>
    <cellStyle name="SAPBEXHLevel2X 4" xfId="3167" xr:uid="{85558F91-DA11-4406-A70E-BFF59C320976}"/>
    <cellStyle name="SAPBEXHLevel2X 5" xfId="1688" xr:uid="{F72307C4-13D2-4B84-8999-A0614543A787}"/>
    <cellStyle name="SAPBEXHLevel3" xfId="98" xr:uid="{00000000-0005-0000-0000-00004C030000}"/>
    <cellStyle name="SAPBEXHLevel3 2" xfId="939" xr:uid="{7777D467-0747-40AA-9F66-1D866D47CBF4}"/>
    <cellStyle name="SAPBEXHLevel3 2 2" xfId="1692" xr:uid="{C5AB1ED3-EB95-4D64-A7BF-F3FA712E0883}"/>
    <cellStyle name="SAPBEXHLevel3 2 2 2" xfId="3053" xr:uid="{0A628118-39AB-46FC-B219-0D99E3BC4D1B}"/>
    <cellStyle name="SAPBEXHLevel3 2 2 3" xfId="3090" xr:uid="{7835B5FF-CBBC-471F-841D-A7E421953FC2}"/>
    <cellStyle name="SAPBEXHLevel3 2 3" xfId="1693" xr:uid="{EEC42B18-8434-4A9C-8573-47B77FB10DB1}"/>
    <cellStyle name="SAPBEXHLevel3 2 3 2" xfId="3147" xr:uid="{79AA4573-92F1-4125-AA13-F58437461D4A}"/>
    <cellStyle name="SAPBEXHLevel3 2 3 3" xfId="3215" xr:uid="{20608DAD-DC2E-468B-8444-938DDE98C1C1}"/>
    <cellStyle name="SAPBEXHLevel3 2 4" xfId="3238" xr:uid="{F81D12E0-72B9-4A7C-A99E-4C90C4A6772A}"/>
    <cellStyle name="SAPBEXHLevel3 2 5" xfId="3248" xr:uid="{C7E5924D-95F4-4D23-B446-41703BF07A32}"/>
    <cellStyle name="SAPBEXHLevel3 2 6" xfId="1691" xr:uid="{38D6B4A2-C277-49D6-A7DD-DF7D6215FF46}"/>
    <cellStyle name="SAPBEXHLevel3 3" xfId="3050" xr:uid="{194FD71D-4B6A-45DD-B082-5E5267BCB116}"/>
    <cellStyle name="SAPBEXHLevel3 4" xfId="3252" xr:uid="{3002B438-73DC-41D3-ABBB-FA217E67C2B0}"/>
    <cellStyle name="SAPBEXHLevel3 5" xfId="1690" xr:uid="{8B81F412-77FC-4173-9B40-8D37A3A8E7E9}"/>
    <cellStyle name="SAPBEXHLevel3X" xfId="99" xr:uid="{00000000-0005-0000-0000-00004D030000}"/>
    <cellStyle name="SAPBEXHLevel3X 2" xfId="940" xr:uid="{16EE4387-87B1-4194-BBF1-16E8DA5257CE}"/>
    <cellStyle name="SAPBEXHLevel3X 2 2" xfId="3137" xr:uid="{062B4B9E-5E32-4305-9261-4C98C71F730F}"/>
    <cellStyle name="SAPBEXHLevel3X 2 3" xfId="3062" xr:uid="{B74864E9-5A7E-4129-9466-C1FC17D3F159}"/>
    <cellStyle name="SAPBEXHLevel3X 2 4" xfId="1695" xr:uid="{97CC3850-8912-44A7-AECC-9B7D5CBE139B}"/>
    <cellStyle name="SAPBEXHLevel3X 3" xfId="3111" xr:uid="{0BA86707-23F3-4FF7-B9DD-0B363DA9B6C7}"/>
    <cellStyle name="SAPBEXHLevel3X 4" xfId="3150" xr:uid="{E96530CB-15B7-4064-A42B-A5CC62FB4C40}"/>
    <cellStyle name="SAPBEXHLevel3X 5" xfId="1694" xr:uid="{59CD1ED2-1588-4CDF-B9BC-DE2D6DB8967E}"/>
    <cellStyle name="SAPBEXinputData" xfId="100" xr:uid="{00000000-0005-0000-0000-00004E030000}"/>
    <cellStyle name="SAPBEXinputData 10" xfId="2567" xr:uid="{AAF63542-08EA-4DE3-B8EC-4EEC7ECD119E}"/>
    <cellStyle name="SAPBEXinputData 11" xfId="1696" xr:uid="{1A579113-A5AE-4617-B77A-69AB844094E5}"/>
    <cellStyle name="SAPBEXinputData 2" xfId="941" xr:uid="{0148C0AB-2C94-485E-8FA3-50BFBF1A297C}"/>
    <cellStyle name="SAPBEXinputData 2 2" xfId="1697" xr:uid="{6FC52AA1-B276-4D4A-BF9A-EEE5C27D1103}"/>
    <cellStyle name="SAPBEXinputData 3" xfId="1698" xr:uid="{B1194430-3E4E-4135-917A-1C0AE77D20E6}"/>
    <cellStyle name="SAPBEXinputData 3 2" xfId="1699" xr:uid="{04F2F544-8439-4F37-8E79-33428810D98E}"/>
    <cellStyle name="SAPBEXinputData 3 2 2" xfId="1700" xr:uid="{7C25E428-B92B-49A9-BB73-C492C79F518F}"/>
    <cellStyle name="SAPBEXinputData 3 2 2 2" xfId="1701" xr:uid="{B8E33FD1-AF59-4792-BDB9-20A1EB58F4CF}"/>
    <cellStyle name="SAPBEXinputData 3 2 2 2 2" xfId="1702" xr:uid="{1F25D1F0-D7A5-4FB0-958E-0FF43633001C}"/>
    <cellStyle name="SAPBEXinputData 3 2 2 2 2 2" xfId="2099" xr:uid="{C0A9C0AD-64AE-4D49-A50B-4F2890F833E8}"/>
    <cellStyle name="SAPBEXinputData 3 2 2 2 2 2 2" xfId="2937" xr:uid="{B57229BB-9EF3-4DC3-A3B9-0DF9F263BF37}"/>
    <cellStyle name="SAPBEXinputData 3 2 2 2 2 3" xfId="2572" xr:uid="{DDF15937-116F-432B-9703-DA44E538CD8C}"/>
    <cellStyle name="SAPBEXinputData 3 2 2 2 3" xfId="1929" xr:uid="{49B078E0-2BC9-4B68-AA2D-1BF2B55605CA}"/>
    <cellStyle name="SAPBEXinputData 3 2 2 2 3 2" xfId="2767" xr:uid="{96195523-41E3-4534-8D1C-3B8A9D18A796}"/>
    <cellStyle name="SAPBEXinputData 3 2 2 2 4" xfId="2571" xr:uid="{4F49B3A6-CE7E-4BB1-84C6-F1422AD08AD9}"/>
    <cellStyle name="SAPBEXinputData 3 2 2 3" xfId="1703" xr:uid="{17893D3B-CD40-4749-9F28-188A502AA394}"/>
    <cellStyle name="SAPBEXinputData 3 2 2 3 2" xfId="1704" xr:uid="{0FD30FC4-EE41-4FE7-A1C9-B17D013D38B6}"/>
    <cellStyle name="SAPBEXinputData 3 2 2 3 2 2" xfId="2100" xr:uid="{19D45336-758F-4709-9259-396471067A13}"/>
    <cellStyle name="SAPBEXinputData 3 2 2 3 2 2 2" xfId="2938" xr:uid="{73118DEC-DD9F-439B-8A5D-807838BF9A74}"/>
    <cellStyle name="SAPBEXinputData 3 2 2 3 2 3" xfId="2574" xr:uid="{E089D064-D85F-48D3-AD62-2DDD538D7EAD}"/>
    <cellStyle name="SAPBEXinputData 3 2 2 3 3" xfId="1930" xr:uid="{E589F60E-E408-40EF-9D5D-2D815D389A79}"/>
    <cellStyle name="SAPBEXinputData 3 2 2 3 3 2" xfId="2768" xr:uid="{71A7BD67-A496-4D25-8D8F-8DD2DE6537D9}"/>
    <cellStyle name="SAPBEXinputData 3 2 2 3 4" xfId="2573" xr:uid="{EA3EEF08-16BD-4672-8273-2462D1EC20A8}"/>
    <cellStyle name="SAPBEXinputData 3 2 2 4" xfId="1705" xr:uid="{668D6E70-9F13-464B-BE69-869AF50516A9}"/>
    <cellStyle name="SAPBEXinputData 3 2 2 4 2" xfId="2098" xr:uid="{2CD84618-8D71-48BC-A158-0F8F6B36432E}"/>
    <cellStyle name="SAPBEXinputData 3 2 2 4 2 2" xfId="2936" xr:uid="{463E53C9-C3F2-4D75-B829-A1C263A4E096}"/>
    <cellStyle name="SAPBEXinputData 3 2 2 4 3" xfId="2575" xr:uid="{99635248-C55F-4E76-A7E0-4B72064230DB}"/>
    <cellStyle name="SAPBEXinputData 3 2 2 5" xfId="1928" xr:uid="{09E99A3D-B8EA-4B58-B0AC-44996109097B}"/>
    <cellStyle name="SAPBEXinputData 3 2 2 5 2" xfId="2766" xr:uid="{47821799-FA36-45BE-AC38-9F0F527D012D}"/>
    <cellStyle name="SAPBEXinputData 3 2 2 6" xfId="2570" xr:uid="{0A2A4471-46F4-443C-B9E9-695CB7C0620E}"/>
    <cellStyle name="SAPBEXinputData 3 2 3" xfId="1706" xr:uid="{78A5B5CD-52E1-48F1-A1F2-E339A4C07EA4}"/>
    <cellStyle name="SAPBEXinputData 3 2 3 2" xfId="1707" xr:uid="{18A44AE7-20EA-4235-AFCC-EF3746BB92F0}"/>
    <cellStyle name="SAPBEXinputData 3 2 3 2 2" xfId="2101" xr:uid="{CD497E80-4461-4D4D-BD1B-E634A0767D37}"/>
    <cellStyle name="SAPBEXinputData 3 2 3 2 2 2" xfId="2939" xr:uid="{788B0D04-3541-4D0F-BC33-942821D4A027}"/>
    <cellStyle name="SAPBEXinputData 3 2 3 2 3" xfId="2577" xr:uid="{FCC10257-E003-4A50-8083-40E0B47C3C8C}"/>
    <cellStyle name="SAPBEXinputData 3 2 3 3" xfId="1931" xr:uid="{39C9F305-08C7-4C07-830C-59EBC22A23AC}"/>
    <cellStyle name="SAPBEXinputData 3 2 3 3 2" xfId="2769" xr:uid="{77B45266-43A8-46A3-910E-3DA7B6CA3299}"/>
    <cellStyle name="SAPBEXinputData 3 2 3 4" xfId="2576" xr:uid="{810C84F1-F424-46AE-ACB8-B5F0DEE1CADC}"/>
    <cellStyle name="SAPBEXinputData 3 2 4" xfId="1708" xr:uid="{6AF6BF63-7BCB-462B-8232-7BDAE20AE0AF}"/>
    <cellStyle name="SAPBEXinputData 3 2 4 2" xfId="1709" xr:uid="{243A1E57-7656-4E30-BF9D-424C53E55B1E}"/>
    <cellStyle name="SAPBEXinputData 3 2 4 2 2" xfId="2102" xr:uid="{CF7D1051-7367-4054-BFB8-BB906A626636}"/>
    <cellStyle name="SAPBEXinputData 3 2 4 2 2 2" xfId="2940" xr:uid="{708A2E5D-F964-41B1-B67E-C7A128B34DB5}"/>
    <cellStyle name="SAPBEXinputData 3 2 4 2 3" xfId="2579" xr:uid="{3BEF5AEF-669D-4116-B83F-8AA92404E331}"/>
    <cellStyle name="SAPBEXinputData 3 2 4 3" xfId="1932" xr:uid="{33DDD796-3835-4DA9-995F-E1B96575DB61}"/>
    <cellStyle name="SAPBEXinputData 3 2 4 3 2" xfId="2770" xr:uid="{B4F57D7E-B15A-4C22-9C6F-26301AD4503C}"/>
    <cellStyle name="SAPBEXinputData 3 2 4 4" xfId="2578" xr:uid="{A8D59F88-9AB3-4A96-A2EF-D66360185B84}"/>
    <cellStyle name="SAPBEXinputData 3 2 5" xfId="1710" xr:uid="{7AA6126F-332E-40D7-8BA8-994F8E2EDC98}"/>
    <cellStyle name="SAPBEXinputData 3 2 5 2" xfId="2097" xr:uid="{1FF4BD47-D98D-4F6B-9612-765A2ABD413A}"/>
    <cellStyle name="SAPBEXinputData 3 2 5 2 2" xfId="2935" xr:uid="{7823D7AF-2470-4345-B628-926266C299D5}"/>
    <cellStyle name="SAPBEXinputData 3 2 5 3" xfId="2580" xr:uid="{EC90F5FD-D4F5-4F91-B837-532FAEECA4CB}"/>
    <cellStyle name="SAPBEXinputData 3 2 6" xfId="1927" xr:uid="{2DCAAEF4-3A18-4631-A305-AF391C47E61D}"/>
    <cellStyle name="SAPBEXinputData 3 2 6 2" xfId="2765" xr:uid="{0D56C213-040A-48FF-B6D8-A286984A10AA}"/>
    <cellStyle name="SAPBEXinputData 3 2 7" xfId="2569" xr:uid="{3C9E0BEB-F2FC-4601-9BD9-9976393D77A1}"/>
    <cellStyle name="SAPBEXinputData 3 3" xfId="1711" xr:uid="{91996F28-14AE-4835-B37C-0E933BE052B5}"/>
    <cellStyle name="SAPBEXinputData 3 3 2" xfId="1712" xr:uid="{E267E28A-1EB7-41D0-A906-17C08C79854F}"/>
    <cellStyle name="SAPBEXinputData 3 3 2 2" xfId="1713" xr:uid="{CB9CDCEE-BDFF-43C6-BD48-83334761FFFD}"/>
    <cellStyle name="SAPBEXinputData 3 3 2 2 2" xfId="2104" xr:uid="{8DBF22E0-83E6-417B-8705-D819110FF003}"/>
    <cellStyle name="SAPBEXinputData 3 3 2 2 2 2" xfId="2942" xr:uid="{D23364FC-685F-4EC3-828A-EFB00BD9ADA1}"/>
    <cellStyle name="SAPBEXinputData 3 3 2 2 3" xfId="2583" xr:uid="{2FB5F220-EEFB-44FE-98CB-3131F12155B0}"/>
    <cellStyle name="SAPBEXinputData 3 3 2 3" xfId="1934" xr:uid="{1ECFBDC3-44E8-4C5D-A86F-CE39CFCF9D1D}"/>
    <cellStyle name="SAPBEXinputData 3 3 2 3 2" xfId="2772" xr:uid="{F5716692-C209-413B-B8E9-2B44814AF0FD}"/>
    <cellStyle name="SAPBEXinputData 3 3 2 4" xfId="2582" xr:uid="{6B97D162-B437-46BE-A40A-228959DE96BA}"/>
    <cellStyle name="SAPBEXinputData 3 3 3" xfId="1714" xr:uid="{2BF9BE9D-4FAB-43CB-855B-C7865BD38BE0}"/>
    <cellStyle name="SAPBEXinputData 3 3 3 2" xfId="1715" xr:uid="{3CAC144B-5D74-428C-82A0-0A24E95A957A}"/>
    <cellStyle name="SAPBEXinputData 3 3 3 2 2" xfId="2105" xr:uid="{8A637E50-982D-4125-B29C-70C494F4B933}"/>
    <cellStyle name="SAPBEXinputData 3 3 3 2 2 2" xfId="2943" xr:uid="{3367BC72-3A10-4B85-9BC7-4C5D793A9A3C}"/>
    <cellStyle name="SAPBEXinputData 3 3 3 2 3" xfId="2585" xr:uid="{79481D60-6783-4AB2-877E-B0985AE06EDC}"/>
    <cellStyle name="SAPBEXinputData 3 3 3 3" xfId="1935" xr:uid="{27ADB23A-A418-4A14-AC22-A4E8A8C4F24C}"/>
    <cellStyle name="SAPBEXinputData 3 3 3 3 2" xfId="2773" xr:uid="{E22F1A86-4D5C-4D34-93B2-953F68ED9945}"/>
    <cellStyle name="SAPBEXinputData 3 3 3 4" xfId="2584" xr:uid="{A9A9F4E4-E5C1-4FFF-A799-76F15328A3F7}"/>
    <cellStyle name="SAPBEXinputData 3 3 4" xfId="1716" xr:uid="{4D408A54-B5ED-40E4-923A-D8467199F613}"/>
    <cellStyle name="SAPBEXinputData 3 3 4 2" xfId="2103" xr:uid="{8F93ED7B-ECC5-4FFB-AE7B-E7D4E848FF5A}"/>
    <cellStyle name="SAPBEXinputData 3 3 4 2 2" xfId="2941" xr:uid="{10465F02-F2E7-4FCE-86CD-FDFAB56EFA2E}"/>
    <cellStyle name="SAPBEXinputData 3 3 4 3" xfId="2586" xr:uid="{0AB524D2-C6E2-435F-8C75-99AC390E6EEA}"/>
    <cellStyle name="SAPBEXinputData 3 3 5" xfId="1933" xr:uid="{82E14327-FC2E-42F1-A990-3EA35D112C92}"/>
    <cellStyle name="SAPBEXinputData 3 3 5 2" xfId="2771" xr:uid="{5BF0BF84-C591-4C44-AB95-50AE4CE8BA6D}"/>
    <cellStyle name="SAPBEXinputData 3 3 6" xfId="2581" xr:uid="{762A5257-34DD-4611-B4D5-CB2B981C6F48}"/>
    <cellStyle name="SAPBEXinputData 3 4" xfId="1717" xr:uid="{DED8D001-BFA1-4383-B8A0-E990A6A3E58C}"/>
    <cellStyle name="SAPBEXinputData 3 4 2" xfId="1718" xr:uid="{B93EAE69-F8E5-4083-ABD2-51DB61B3220F}"/>
    <cellStyle name="SAPBEXinputData 3 4 2 2" xfId="2106" xr:uid="{93862EDE-D185-48BB-869D-8D4D6E48F987}"/>
    <cellStyle name="SAPBEXinputData 3 4 2 2 2" xfId="2944" xr:uid="{09729F31-54AD-4830-B976-8EF6367B70A4}"/>
    <cellStyle name="SAPBEXinputData 3 4 2 3" xfId="2588" xr:uid="{E42E7BEE-5108-493C-9706-BBC294382E90}"/>
    <cellStyle name="SAPBEXinputData 3 4 3" xfId="1936" xr:uid="{F1C7D784-5A72-41BB-8BE1-52DF61EE07FA}"/>
    <cellStyle name="SAPBEXinputData 3 4 3 2" xfId="2774" xr:uid="{701F95A4-0EDA-41F0-B6E2-8FBB9351C097}"/>
    <cellStyle name="SAPBEXinputData 3 4 4" xfId="2587" xr:uid="{E56333AD-37C3-426D-8AB9-AD73E2B0DAE9}"/>
    <cellStyle name="SAPBEXinputData 3 5" xfId="1719" xr:uid="{16BFFB29-3A13-4DF1-BD21-094AE0AEDF19}"/>
    <cellStyle name="SAPBEXinputData 3 5 2" xfId="1720" xr:uid="{498D8D6B-70E9-4394-9E38-DC350F4BDB90}"/>
    <cellStyle name="SAPBEXinputData 3 5 2 2" xfId="2107" xr:uid="{956C48D7-A560-4631-9A69-5990542694D3}"/>
    <cellStyle name="SAPBEXinputData 3 5 2 2 2" xfId="2945" xr:uid="{D000C9E1-9011-4E7D-8907-B6847999FE91}"/>
    <cellStyle name="SAPBEXinputData 3 5 2 3" xfId="2590" xr:uid="{4D66178D-F3EC-45C6-93BD-D35A7A050298}"/>
    <cellStyle name="SAPBEXinputData 3 5 3" xfId="1937" xr:uid="{8478C87B-EA67-47D7-8E48-4F864B5B9C06}"/>
    <cellStyle name="SAPBEXinputData 3 5 3 2" xfId="2775" xr:uid="{43B3F61D-8489-4CFF-A08C-3C832FF9D56B}"/>
    <cellStyle name="SAPBEXinputData 3 5 4" xfId="2589" xr:uid="{81B53D3E-A5D6-4ADE-9D84-6C400B8B5687}"/>
    <cellStyle name="SAPBEXinputData 3 6" xfId="1721" xr:uid="{8D92FC36-DCD2-4FE9-895B-4EEC31657FDB}"/>
    <cellStyle name="SAPBEXinputData 3 6 2" xfId="2096" xr:uid="{F4E9A190-476B-4810-AA58-EE2746A72E56}"/>
    <cellStyle name="SAPBEXinputData 3 6 2 2" xfId="2934" xr:uid="{1615206E-F9D2-44E3-AC2D-0A57CEF6212B}"/>
    <cellStyle name="SAPBEXinputData 3 6 3" xfId="2591" xr:uid="{59957EFD-77FF-4D98-88D2-B46D41BAD10A}"/>
    <cellStyle name="SAPBEXinputData 3 7" xfId="1926" xr:uid="{1DDF0F80-74EA-4C2E-ADDC-0D1D081FB545}"/>
    <cellStyle name="SAPBEXinputData 3 7 2" xfId="2764" xr:uid="{224F7EBB-9B2B-47D3-B3C9-6F7B174F7596}"/>
    <cellStyle name="SAPBEXinputData 3 8" xfId="2568" xr:uid="{646A1240-742C-4B5D-86DC-F7A85D1E5C7E}"/>
    <cellStyle name="SAPBEXinputData 4" xfId="1722" xr:uid="{F86C70C2-D51C-4681-99E7-379267F8BFEF}"/>
    <cellStyle name="SAPBEXinputData 4 2" xfId="1723" xr:uid="{6A0B938B-16EF-4685-9D6D-1A28B283B0DE}"/>
    <cellStyle name="SAPBEXinputData 4 2 2" xfId="1724" xr:uid="{50189E35-EEAD-47DC-B51A-A453604F9694}"/>
    <cellStyle name="SAPBEXinputData 4 2 2 2" xfId="1725" xr:uid="{8F549E5B-8BAD-4B11-A95A-E3A081454539}"/>
    <cellStyle name="SAPBEXinputData 4 2 2 2 2" xfId="2110" xr:uid="{422ABE01-94B9-4E22-A433-E9136F6C82FD}"/>
    <cellStyle name="SAPBEXinputData 4 2 2 2 2 2" xfId="2948" xr:uid="{3A55464A-FFD0-46E2-BA49-F00EDF5F53A8}"/>
    <cellStyle name="SAPBEXinputData 4 2 2 2 3" xfId="2595" xr:uid="{2EAE74A1-CDF6-40CF-B62F-3D9D82DB721F}"/>
    <cellStyle name="SAPBEXinputData 4 2 2 3" xfId="1940" xr:uid="{88B75914-9B56-46B7-A624-5A08AB9400DA}"/>
    <cellStyle name="SAPBEXinputData 4 2 2 3 2" xfId="2778" xr:uid="{28DAA0EE-37E3-499D-A984-9C70D1C841FF}"/>
    <cellStyle name="SAPBEXinputData 4 2 2 4" xfId="2594" xr:uid="{6D0E931D-F845-4D84-8BD1-632459D01994}"/>
    <cellStyle name="SAPBEXinputData 4 2 3" xfId="1726" xr:uid="{8DB53F7D-BA0B-4062-9C40-FF820ACA9D40}"/>
    <cellStyle name="SAPBEXinputData 4 2 3 2" xfId="1727" xr:uid="{C6A58774-E25B-42A1-884C-3A22196D08C3}"/>
    <cellStyle name="SAPBEXinputData 4 2 3 2 2" xfId="2111" xr:uid="{77E60597-9230-4339-9597-9482BEE23384}"/>
    <cellStyle name="SAPBEXinputData 4 2 3 2 2 2" xfId="2949" xr:uid="{63721460-05E8-4A6C-8D94-CD85342547E8}"/>
    <cellStyle name="SAPBEXinputData 4 2 3 2 3" xfId="2597" xr:uid="{B1902837-7A3A-40AD-A158-2C138FD38254}"/>
    <cellStyle name="SAPBEXinputData 4 2 3 3" xfId="1941" xr:uid="{B01859D4-A00B-41D3-B2AC-A94E0B54FBB3}"/>
    <cellStyle name="SAPBEXinputData 4 2 3 3 2" xfId="2779" xr:uid="{AC1015E7-4002-4B32-89A2-26B19218282A}"/>
    <cellStyle name="SAPBEXinputData 4 2 3 4" xfId="2596" xr:uid="{D4F25CC6-122A-49F4-8288-B1C578DDF1ED}"/>
    <cellStyle name="SAPBEXinputData 4 2 4" xfId="1728" xr:uid="{34D7F090-6CC1-47B5-B2F5-CCFB4A0CE391}"/>
    <cellStyle name="SAPBEXinputData 4 2 4 2" xfId="2109" xr:uid="{0F1E612D-452F-46DF-B4EB-A7F9FB9D9198}"/>
    <cellStyle name="SAPBEXinputData 4 2 4 2 2" xfId="2947" xr:uid="{82EE6838-DA26-4DF2-AD0F-66E97F4FF867}"/>
    <cellStyle name="SAPBEXinputData 4 2 4 3" xfId="2598" xr:uid="{6915977F-6868-4F0E-A54B-CE51D3E66155}"/>
    <cellStyle name="SAPBEXinputData 4 2 5" xfId="1939" xr:uid="{5EB2C34E-A30C-4BC4-8AAC-678F3E9E0313}"/>
    <cellStyle name="SAPBEXinputData 4 2 5 2" xfId="2777" xr:uid="{F7B7B427-AE75-4512-840E-B573F17E34C6}"/>
    <cellStyle name="SAPBEXinputData 4 2 6" xfId="2593" xr:uid="{2BD2FBB2-CE01-4772-9C0A-1C4E0A555D94}"/>
    <cellStyle name="SAPBEXinputData 4 3" xfId="1729" xr:uid="{BFCCA7AE-8AA1-46BC-B0E3-F92303DFB6EB}"/>
    <cellStyle name="SAPBEXinputData 4 3 2" xfId="1730" xr:uid="{22EAA5F7-03A3-4E85-B740-9E9DB18A47E7}"/>
    <cellStyle name="SAPBEXinputData 4 3 2 2" xfId="2112" xr:uid="{E5A49941-6E9E-4A02-8987-5924A1FE3F16}"/>
    <cellStyle name="SAPBEXinputData 4 3 2 2 2" xfId="2950" xr:uid="{57D30073-9DC2-4ED6-8203-17AFA49BA9C0}"/>
    <cellStyle name="SAPBEXinputData 4 3 2 3" xfId="2600" xr:uid="{C8C8EFCE-76E0-4C40-AE54-1640848F4E8E}"/>
    <cellStyle name="SAPBEXinputData 4 3 3" xfId="1942" xr:uid="{8E6CC0FA-E2E0-4CB4-BB52-DA182DBA2F2A}"/>
    <cellStyle name="SAPBEXinputData 4 3 3 2" xfId="2780" xr:uid="{75DB3914-4466-443D-9D9D-23BB075DB32E}"/>
    <cellStyle name="SAPBEXinputData 4 3 4" xfId="2599" xr:uid="{7EADADB6-353A-4EF0-92C0-E5709730C644}"/>
    <cellStyle name="SAPBEXinputData 4 4" xfId="1731" xr:uid="{1DF2D2FA-FD80-4EFE-9FDF-BA3A5639E8EB}"/>
    <cellStyle name="SAPBEXinputData 4 4 2" xfId="1732" xr:uid="{159A95B9-2DF0-49C0-ACFA-3311E142DDF7}"/>
    <cellStyle name="SAPBEXinputData 4 4 2 2" xfId="2113" xr:uid="{A180B4C3-EFF8-416C-B84D-5EC5638E7710}"/>
    <cellStyle name="SAPBEXinputData 4 4 2 2 2" xfId="2951" xr:uid="{4112376F-6FB6-41E2-88E9-FB61C30087E1}"/>
    <cellStyle name="SAPBEXinputData 4 4 2 3" xfId="2602" xr:uid="{B14EB756-E5A7-475E-8E29-6F837E480DEE}"/>
    <cellStyle name="SAPBEXinputData 4 4 3" xfId="1943" xr:uid="{ECD161EF-C41C-4218-B765-E7300B860C18}"/>
    <cellStyle name="SAPBEXinputData 4 4 3 2" xfId="2781" xr:uid="{1310E3C7-9AB5-4A77-899B-54BAACD49821}"/>
    <cellStyle name="SAPBEXinputData 4 4 4" xfId="2601" xr:uid="{FABC820D-BA09-42D3-85E4-95AA0D20124A}"/>
    <cellStyle name="SAPBEXinputData 4 5" xfId="1733" xr:uid="{BCB4BDFE-4CF9-44D0-BE0D-5D9459CD7CE6}"/>
    <cellStyle name="SAPBEXinputData 4 5 2" xfId="2108" xr:uid="{28A472B6-00FC-484A-82AE-37019F78F01D}"/>
    <cellStyle name="SAPBEXinputData 4 5 2 2" xfId="2946" xr:uid="{4557CDF0-58A6-46F6-8742-0C9EB966047A}"/>
    <cellStyle name="SAPBEXinputData 4 5 3" xfId="2603" xr:uid="{C54BF548-223D-4364-9F65-CC04C59043D9}"/>
    <cellStyle name="SAPBEXinputData 4 6" xfId="1938" xr:uid="{ADCF935C-74F4-438C-9B55-C08943C103DF}"/>
    <cellStyle name="SAPBEXinputData 4 6 2" xfId="2776" xr:uid="{C68B494D-9C2F-457B-A575-640E7A037CC7}"/>
    <cellStyle name="SAPBEXinputData 4 7" xfId="2592" xr:uid="{B0660C25-8D44-4B4C-98D6-67E5695C59B3}"/>
    <cellStyle name="SAPBEXinputData 5" xfId="1734" xr:uid="{0D1EA735-CB7F-4E59-8FA2-2E407DCF8172}"/>
    <cellStyle name="SAPBEXinputData 5 2" xfId="1735" xr:uid="{8395ED8E-4DBE-440E-BA3A-B47179916084}"/>
    <cellStyle name="SAPBEXinputData 5 2 2" xfId="1736" xr:uid="{759DAB5D-8E37-4A17-BA62-9E1CBE47EC3D}"/>
    <cellStyle name="SAPBEXinputData 5 2 2 2" xfId="2115" xr:uid="{F47141D3-E797-4324-AD0E-5F3FFCAD70FD}"/>
    <cellStyle name="SAPBEXinputData 5 2 2 2 2" xfId="2953" xr:uid="{D60F6199-EC52-4599-83DB-87F2408EFB26}"/>
    <cellStyle name="SAPBEXinputData 5 2 2 3" xfId="2606" xr:uid="{651D8948-BE09-46F2-9274-65AC252440D8}"/>
    <cellStyle name="SAPBEXinputData 5 2 3" xfId="1945" xr:uid="{BBEA4784-D1A6-4899-8798-BD8662343B3B}"/>
    <cellStyle name="SAPBEXinputData 5 2 3 2" xfId="2783" xr:uid="{E5733EF6-8BA0-4D5E-A08E-E1BD63D27CFF}"/>
    <cellStyle name="SAPBEXinputData 5 2 4" xfId="2605" xr:uid="{0F0A4A30-63A5-4D4E-BA3D-BD857392CDCD}"/>
    <cellStyle name="SAPBEXinputData 5 3" xfId="1737" xr:uid="{0A35D69B-987D-4CE8-B943-DC73F11B3A41}"/>
    <cellStyle name="SAPBEXinputData 5 3 2" xfId="1738" xr:uid="{21070AFE-0ED0-4224-966E-E6F9AC3CDEED}"/>
    <cellStyle name="SAPBEXinputData 5 3 2 2" xfId="2116" xr:uid="{A82EE016-144B-4E03-87C3-F7F62E516427}"/>
    <cellStyle name="SAPBEXinputData 5 3 2 2 2" xfId="2954" xr:uid="{AA2623FC-C9E6-4708-95D2-29D457565E8C}"/>
    <cellStyle name="SAPBEXinputData 5 3 2 3" xfId="2608" xr:uid="{9C3445DF-9509-421C-B633-5F31EC43F1A1}"/>
    <cellStyle name="SAPBEXinputData 5 3 3" xfId="1946" xr:uid="{9A203C3B-A693-4550-A338-1D7BF656CF12}"/>
    <cellStyle name="SAPBEXinputData 5 3 3 2" xfId="2784" xr:uid="{61F4CEA1-34B5-47EA-8585-61E838D4A701}"/>
    <cellStyle name="SAPBEXinputData 5 3 4" xfId="2607" xr:uid="{202778C2-CEDD-4B64-830B-6D01744CF48B}"/>
    <cellStyle name="SAPBEXinputData 5 4" xfId="1739" xr:uid="{26ED4FF3-3D0E-4E55-8962-0EFE1A87EA87}"/>
    <cellStyle name="SAPBEXinputData 5 4 2" xfId="2114" xr:uid="{0DAF5ED4-E90B-4BD6-91B5-134C1F4F71A4}"/>
    <cellStyle name="SAPBEXinputData 5 4 2 2" xfId="2952" xr:uid="{7AA8DF3C-5F99-4B66-BF47-E1DDE1DC3F00}"/>
    <cellStyle name="SAPBEXinputData 5 4 3" xfId="2609" xr:uid="{77591C62-202A-411E-97A4-D92049A492B3}"/>
    <cellStyle name="SAPBEXinputData 5 5" xfId="1944" xr:uid="{2BFA106E-7F0D-46CD-9C49-8F67178707F6}"/>
    <cellStyle name="SAPBEXinputData 5 5 2" xfId="2782" xr:uid="{A744B0A5-E6C7-4751-A352-3160158C18A0}"/>
    <cellStyle name="SAPBEXinputData 5 6" xfId="2604" xr:uid="{726AE2ED-CF95-4FED-879B-952EBE38E111}"/>
    <cellStyle name="SAPBEXinputData 6" xfId="1740" xr:uid="{4DD5EBF9-77D8-4017-8EF3-AF5AE7E80B87}"/>
    <cellStyle name="SAPBEXinputData 6 2" xfId="1741" xr:uid="{0D8B4FBC-D01F-4B09-AC5A-A006F2F19B8F}"/>
    <cellStyle name="SAPBEXinputData 6 2 2" xfId="2117" xr:uid="{C44B2133-6A3C-4FFF-9ADB-170DD1F49A94}"/>
    <cellStyle name="SAPBEXinputData 6 2 2 2" xfId="2955" xr:uid="{609A86C9-2986-41A6-A9C7-94E9E3C8E1B8}"/>
    <cellStyle name="SAPBEXinputData 6 2 3" xfId="2611" xr:uid="{28A49CBE-3FFE-47C2-8BB8-2BB510040A4C}"/>
    <cellStyle name="SAPBEXinputData 6 3" xfId="1947" xr:uid="{576A6C4E-41DF-49A0-8540-39E53DEEFA99}"/>
    <cellStyle name="SAPBEXinputData 6 3 2" xfId="2785" xr:uid="{2AB139A8-2A4E-47B2-A3CC-47E1D9095094}"/>
    <cellStyle name="SAPBEXinputData 6 4" xfId="2610" xr:uid="{887F7A9F-2E81-45EB-BF98-C64BF48B37B2}"/>
    <cellStyle name="SAPBEXinputData 7" xfId="1742" xr:uid="{8ABF0873-3797-4419-8903-B5D4728A32F3}"/>
    <cellStyle name="SAPBEXinputData 7 2" xfId="1743" xr:uid="{1656F05A-3718-4D62-BAEB-CAC556B88FEA}"/>
    <cellStyle name="SAPBEXinputData 7 2 2" xfId="2118" xr:uid="{EA7862D4-4542-481C-9F5C-07650E851960}"/>
    <cellStyle name="SAPBEXinputData 7 2 2 2" xfId="2956" xr:uid="{340BFD65-C56A-44E5-ACE3-95F851EC276B}"/>
    <cellStyle name="SAPBEXinputData 7 2 3" xfId="2613" xr:uid="{40ACEDCB-1DC8-4B37-8E6B-929F9E502B83}"/>
    <cellStyle name="SAPBEXinputData 7 3" xfId="1948" xr:uid="{EDFBBEB9-F0DF-4840-B0A1-699AEA3C5305}"/>
    <cellStyle name="SAPBEXinputData 7 3 2" xfId="2786" xr:uid="{4E519B49-4883-4BB5-AA0F-CA1D97D9D500}"/>
    <cellStyle name="SAPBEXinputData 7 4" xfId="2612" xr:uid="{79372DB8-D707-42FE-934E-3BE012077E30}"/>
    <cellStyle name="SAPBEXinputData 8" xfId="1744" xr:uid="{20692C8D-BC70-480B-8AAD-90F3005CB57D}"/>
    <cellStyle name="SAPBEXinputData 8 2" xfId="2095" xr:uid="{776AADCC-CCBF-460C-BD1E-651A2A965DA7}"/>
    <cellStyle name="SAPBEXinputData 8 2 2" xfId="2933" xr:uid="{4A8BA7EB-2204-4E6B-B80B-B0BC613E7BF4}"/>
    <cellStyle name="SAPBEXinputData 8 3" xfId="2614" xr:uid="{83A102BC-1B4D-4DE9-85C4-E7210BF91455}"/>
    <cellStyle name="SAPBEXinputData 9" xfId="1925" xr:uid="{7F807C61-556E-4BEA-A6BB-8C081C68A9C7}"/>
    <cellStyle name="SAPBEXinputData 9 2" xfId="2763" xr:uid="{E6B183FF-7F4A-4D2E-A70B-5061D0BE0491}"/>
    <cellStyle name="SAPBEXItemHeader" xfId="1745" xr:uid="{DD6CA560-4A36-483C-8953-1BF231E1EB1F}"/>
    <cellStyle name="SAPBEXItemHeader 2" xfId="3265" xr:uid="{2EC7314F-6A05-4E67-99E1-4DE74E76035E}"/>
    <cellStyle name="SAPBEXItemHeader 3" xfId="3060" xr:uid="{0738AF2B-D779-4A85-9E5B-65EDC3B5AF8D}"/>
    <cellStyle name="SAPBEXresData" xfId="101" xr:uid="{00000000-0005-0000-0000-00004F030000}"/>
    <cellStyle name="SAPBEXresData 2" xfId="139" xr:uid="{00000000-0005-0000-0000-000050030000}"/>
    <cellStyle name="SAPBEXresData 2 2" xfId="3230" xr:uid="{4801B8EF-FC35-473B-82C7-C6A72948F30E}"/>
    <cellStyle name="SAPBEXresData 2 3" xfId="3229" xr:uid="{EF224C7C-6E01-407D-9911-6C5CC6050B76}"/>
    <cellStyle name="SAPBEXresData 2 4" xfId="1747" xr:uid="{FBE9E92B-255D-4B37-82A1-B9F118BB2257}"/>
    <cellStyle name="SAPBEXresData 3" xfId="3045" xr:uid="{D90D24B0-9330-4026-B44D-E73E2B9A938C}"/>
    <cellStyle name="SAPBEXresData 4" xfId="3165" xr:uid="{576E1856-1214-4D79-A8BD-8B58BF6DE9A9}"/>
    <cellStyle name="SAPBEXresData 5" xfId="1746" xr:uid="{671C23F3-614D-4F0F-A68D-50BAA3C21D10}"/>
    <cellStyle name="SAPBEXresDataEmph" xfId="102" xr:uid="{00000000-0005-0000-0000-000051030000}"/>
    <cellStyle name="SAPBEXresDataEmph 2" xfId="1749" xr:uid="{1C541A26-0409-45DA-A414-55DDA3080D07}"/>
    <cellStyle name="SAPBEXresDataEmph 2 2" xfId="3104" xr:uid="{05692A21-EEE4-431F-BE09-0D252F5A93D3}"/>
    <cellStyle name="SAPBEXresDataEmph 3" xfId="3109" xr:uid="{FB2B5432-778B-4941-B9D1-6B66B275C095}"/>
    <cellStyle name="SAPBEXresDataEmph 4" xfId="3207" xr:uid="{6140352F-6FED-4E25-9619-2297603739B0}"/>
    <cellStyle name="SAPBEXresDataEmph 5" xfId="1748" xr:uid="{0566DAAE-C3FB-472B-A76C-DB5553C496AB}"/>
    <cellStyle name="SAPBEXresItem" xfId="103" xr:uid="{00000000-0005-0000-0000-000052030000}"/>
    <cellStyle name="SAPBEXresItem 2" xfId="140" xr:uid="{00000000-0005-0000-0000-000053030000}"/>
    <cellStyle name="SAPBEXresItem 2 2" xfId="3271" xr:uid="{ED142BE8-CE84-4036-B482-C8705B9177A4}"/>
    <cellStyle name="SAPBEXresItem 2 3" xfId="3145" xr:uid="{59241FFD-4891-43B2-9E20-E0C288986ADF}"/>
    <cellStyle name="SAPBEXresItem 2 4" xfId="1751" xr:uid="{849A065E-F31F-40FD-95D8-4729FDA2A894}"/>
    <cellStyle name="SAPBEXresItem 3" xfId="3142" xr:uid="{6790EF59-35F7-49E2-B284-9610B159AD0F}"/>
    <cellStyle name="SAPBEXresItem 4" xfId="3259" xr:uid="{44213227-9F9E-4DC7-9299-F0DB1D31C26F}"/>
    <cellStyle name="SAPBEXresItem 5" xfId="1750" xr:uid="{D2F22319-EFC3-4421-8AE6-D304A2DE7E78}"/>
    <cellStyle name="SAPBEXresItemX" xfId="104" xr:uid="{00000000-0005-0000-0000-000054030000}"/>
    <cellStyle name="SAPBEXresItemX 2" xfId="141" xr:uid="{00000000-0005-0000-0000-000055030000}"/>
    <cellStyle name="SAPBEXresItemX 2 2" xfId="3184" xr:uid="{53690D77-EBAB-472F-8354-41FE608EA1AB}"/>
    <cellStyle name="SAPBEXresItemX 2 3" xfId="3078" xr:uid="{0910C8F3-FD5A-4553-AA14-033D8AD3B238}"/>
    <cellStyle name="SAPBEXresItemX 2 4" xfId="1753" xr:uid="{AEF461DC-586E-4C07-9D3B-E160EE9E1E14}"/>
    <cellStyle name="SAPBEXresItemX 3" xfId="945" xr:uid="{A986BF0C-E6BA-4D74-9C4F-43A03DE97EEB}"/>
    <cellStyle name="SAPBEXresItemX 3 2" xfId="3228" xr:uid="{1F65111D-43F9-4795-AE1F-8D3C9AFA6B34}"/>
    <cellStyle name="SAPBEXresItemX 4" xfId="3274" xr:uid="{5B955A2D-A3B4-45A6-9EE9-1BB265851C65}"/>
    <cellStyle name="SAPBEXresItemX 5" xfId="1752" xr:uid="{95CABAE8-6F63-425C-A835-3752583C5DB9}"/>
    <cellStyle name="SAPBEXstdData" xfId="105" xr:uid="{00000000-0005-0000-0000-000056030000}"/>
    <cellStyle name="SAPBEXstdData 2" xfId="142" xr:uid="{00000000-0005-0000-0000-000057030000}"/>
    <cellStyle name="SAPBEXstdData 2 2" xfId="1756" xr:uid="{6D0503D9-06FA-4A1E-8978-852D7092B6F7}"/>
    <cellStyle name="SAPBEXstdData 2 2 2" xfId="1757" xr:uid="{C07CBB7E-FCE5-48FC-97C7-E9C047B60693}"/>
    <cellStyle name="SAPBEXstdData 2 2 2 2" xfId="3241" xr:uid="{F66C1BE5-10D8-42DB-A1ED-83AEB2B1AA8C}"/>
    <cellStyle name="SAPBEXstdData 2 2 2 3" xfId="3254" xr:uid="{E7E79820-5EC9-40A0-B44A-BBEB895994B0}"/>
    <cellStyle name="SAPBEXstdData 2 2 3" xfId="3052" xr:uid="{7E41A4BC-2233-4ADE-B5DB-6629EC38C317}"/>
    <cellStyle name="SAPBEXstdData 2 2 4" xfId="3301" xr:uid="{1B8A748A-4372-4C18-A2F5-01CFF9879DBB}"/>
    <cellStyle name="SAPBEXstdData 2 3" xfId="1758" xr:uid="{E9F317E6-DEB5-40EF-B50A-F9DE0919E3B3}"/>
    <cellStyle name="SAPBEXstdData 2 3 2" xfId="3044" xr:uid="{D2B9FA23-59FF-4C27-BF71-E03D5B97670F}"/>
    <cellStyle name="SAPBEXstdData 2 3 3" xfId="3299" xr:uid="{E13CD35D-934C-409F-B688-8237B74A5BB3}"/>
    <cellStyle name="SAPBEXstdData 2 4" xfId="3159" xr:uid="{D39A96E0-4920-46B3-9D15-EE9D8AB47BFD}"/>
    <cellStyle name="SAPBEXstdData 2 5" xfId="3098" xr:uid="{37F73EF2-E06D-44F2-94FB-03CFFDDED03F}"/>
    <cellStyle name="SAPBEXstdData 2 6" xfId="1755" xr:uid="{9755F09E-688B-4712-89A1-DFF3A552EE58}"/>
    <cellStyle name="SAPBEXstdData 3" xfId="889" xr:uid="{A87DB1B3-E42C-412B-BA07-8E4275339EE4}"/>
    <cellStyle name="SAPBEXstdData 3 2" xfId="3100" xr:uid="{FC058B3D-AC7E-4D8C-9597-83CD34034591}"/>
    <cellStyle name="SAPBEXstdData 4" xfId="3113" xr:uid="{F322F71E-43BB-4C50-B396-D6A505D15F9E}"/>
    <cellStyle name="SAPBEXstdData 5" xfId="1754" xr:uid="{FFE62272-6AD1-4EFC-A9DE-1C29880286ED}"/>
    <cellStyle name="SAPBEXstdData_BW Data" xfId="1759" xr:uid="{A8564423-0D34-4F8A-BDAB-A047CC6AF791}"/>
    <cellStyle name="SAPBEXstdDataEmph" xfId="106" xr:uid="{00000000-0005-0000-0000-000058030000}"/>
    <cellStyle name="SAPBEXstdDataEmph 2" xfId="1761" xr:uid="{0FD93C9C-B194-487C-A3C9-A318EB75B322}"/>
    <cellStyle name="SAPBEXstdDataEmph 2 2" xfId="3262" xr:uid="{EDBBA322-47D3-4478-8A15-99CF7389D00E}"/>
    <cellStyle name="SAPBEXstdDataEmph 2 3" xfId="3239" xr:uid="{91B0E418-6484-47CE-AC7E-2FFEE8193AA6}"/>
    <cellStyle name="SAPBEXstdDataEmph 3" xfId="3208" xr:uid="{B02E2C00-F475-431C-A96D-17321273C03C}"/>
    <cellStyle name="SAPBEXstdDataEmph 4" xfId="3303" xr:uid="{142E2079-46D2-4A14-A8D9-591CCC38FD42}"/>
    <cellStyle name="SAPBEXstdDataEmph 5" xfId="1760" xr:uid="{1D8F0283-0FA9-424B-BBBD-598B4EE031F5}"/>
    <cellStyle name="SAPBEXstdItem" xfId="107" xr:uid="{00000000-0005-0000-0000-000059030000}"/>
    <cellStyle name="SAPBEXstdItem 2" xfId="143" xr:uid="{00000000-0005-0000-0000-00005A030000}"/>
    <cellStyle name="SAPBEXstdItem 2 2" xfId="1764" xr:uid="{2C531197-EABD-489B-B46D-A686EC476276}"/>
    <cellStyle name="SAPBEXstdItem 2 2 2" xfId="3081" xr:uid="{38ACEFD6-535B-439A-86DE-9C8C2B0B0A19}"/>
    <cellStyle name="SAPBEXstdItem 2 2 3" xfId="3302" xr:uid="{4BB1D325-2816-4AE4-8635-C4F430D4F726}"/>
    <cellStyle name="SAPBEXstdItem 2 3" xfId="1765" xr:uid="{CDD482C5-4598-46EF-95EC-76B6E87D3B67}"/>
    <cellStyle name="SAPBEXstdItem 2 3 2" xfId="3257" xr:uid="{3B3AB500-1125-40A4-9849-51E489E0E5A9}"/>
    <cellStyle name="SAPBEXstdItem 2 3 3" xfId="3108" xr:uid="{9B37BABF-B24F-4A49-8677-DAE7E65DB18E}"/>
    <cellStyle name="SAPBEXstdItem 2 4" xfId="3095" xr:uid="{8BB18BED-6EAC-43C6-BD27-B49F1C945BE6}"/>
    <cellStyle name="SAPBEXstdItem 2 5" xfId="3180" xr:uid="{F5CF98F1-D9E0-4D08-A549-189006DF9200}"/>
    <cellStyle name="SAPBEXstdItem 2 6" xfId="1763" xr:uid="{3999662E-782D-4D68-820D-4F757E8C65C6}"/>
    <cellStyle name="SAPBEXstdItem 3" xfId="890" xr:uid="{045C2561-423E-4B09-9F8E-E7C7DA435F49}"/>
    <cellStyle name="SAPBEXstdItem 3 2" xfId="3244" xr:uid="{77FA904F-8838-45F4-9FA0-10EF2C0A0822}"/>
    <cellStyle name="SAPBEXstdItem 4" xfId="3300" xr:uid="{8EB0487E-28F8-46C9-9F68-847257ED2211}"/>
    <cellStyle name="SAPBEXstdItem 5" xfId="1762" xr:uid="{FEC4E776-1285-4D59-9D0E-66AD54C7993B}"/>
    <cellStyle name="SAPBEXstdItem_BW Data" xfId="1766" xr:uid="{9CD82F8C-69F2-447E-B215-16CA6831348C}"/>
    <cellStyle name="SAPBEXstdItemX" xfId="108" xr:uid="{00000000-0005-0000-0000-00005B030000}"/>
    <cellStyle name="SAPBEXstdItemX 2" xfId="144" xr:uid="{00000000-0005-0000-0000-00005C030000}"/>
    <cellStyle name="SAPBEXstdItemX 2 2" xfId="3105" xr:uid="{E3B5FC41-B60B-4ECC-B00B-ECE747389983}"/>
    <cellStyle name="SAPBEXstdItemX 2 3" xfId="3297" xr:uid="{10EAD126-FD20-43EF-B373-8D15196882E9}"/>
    <cellStyle name="SAPBEXstdItemX 2 4" xfId="1768" xr:uid="{41A06426-20C4-4E20-8EB0-43AE83C99905}"/>
    <cellStyle name="SAPBEXstdItemX 3" xfId="949" xr:uid="{BC771335-9857-4003-AA06-21242087AB2F}"/>
    <cellStyle name="SAPBEXstdItemX 3 2" xfId="3097" xr:uid="{7A282F8C-A837-4F0B-A93B-5CCEDF314816}"/>
    <cellStyle name="SAPBEXstdItemX 4" xfId="3114" xr:uid="{D71F835E-5326-4EE7-8749-1AF43A646AEA}"/>
    <cellStyle name="SAPBEXstdItemX 5" xfId="1767" xr:uid="{51DB7923-555E-47B1-99BF-E5192B0AF1AE}"/>
    <cellStyle name="SAPBEXtitle" xfId="109" xr:uid="{00000000-0005-0000-0000-00005D030000}"/>
    <cellStyle name="SAPBEXtitle 2" xfId="1770" xr:uid="{AB380B6C-104A-4764-A557-2620C69181A7}"/>
    <cellStyle name="SAPBEXtitle 2 2" xfId="3148" xr:uid="{01CBBD32-3A40-45CA-B2BB-AC26D67E1ED8}"/>
    <cellStyle name="SAPBEXtitle 2 3" xfId="3295" xr:uid="{4131EAF6-F201-4FEA-B8BA-EB88098CD1CF}"/>
    <cellStyle name="SAPBEXtitle 3" xfId="1769" xr:uid="{7AB02CA9-3B46-46B6-99D8-5638F87CF745}"/>
    <cellStyle name="SAPBEXunassignedItem" xfId="1771" xr:uid="{3F250E2C-E22E-4142-8AA5-5F24A5378037}"/>
    <cellStyle name="SAPBEXunassignedItem 2" xfId="1772" xr:uid="{25461E51-BAD8-453F-B087-BE48A3487B5B}"/>
    <cellStyle name="SAPBEXunassignedItem 2 2" xfId="3296" xr:uid="{05B806B4-B4DC-42C3-B00F-005C1CAA0847}"/>
    <cellStyle name="SAPBEXunassignedItem 3" xfId="1773" xr:uid="{0C8120C1-8347-4CFB-A22C-998861B79FB7}"/>
    <cellStyle name="SAPBEXunassignedItem 3 2" xfId="3151" xr:uid="{BE7FB166-B4C2-4502-96A8-36DEC2E5D607}"/>
    <cellStyle name="SAPBEXunassignedItem 4" xfId="3080" xr:uid="{82A2B1BF-FE18-4A65-91E3-977ECE9D76B9}"/>
    <cellStyle name="SAPBEXundefined" xfId="110" xr:uid="{00000000-0005-0000-0000-00005E030000}"/>
    <cellStyle name="SAPBEXundefined 2" xfId="1775" xr:uid="{EDD78056-FAC7-483C-B368-650D12C59F96}"/>
    <cellStyle name="SAPBEXundefined 2 2" xfId="3213" xr:uid="{7A758E2A-FA07-40BE-9A4E-23441FC25F7B}"/>
    <cellStyle name="SAPBEXundefined 2 3" xfId="3068" xr:uid="{ACD26AF5-F260-4E8B-BFDD-7A3C7DB6AA59}"/>
    <cellStyle name="SAPBEXundefined 3" xfId="3284" xr:uid="{377F57E8-45FD-414D-A171-B817545A4E1F}"/>
    <cellStyle name="SAPBEXundefined 4" xfId="3298" xr:uid="{8DFEED10-5827-4ED4-9253-788C0AECFABD}"/>
    <cellStyle name="SAPBEXundefined 5" xfId="1774" xr:uid="{98824E1C-FBA2-457A-B508-9FB42F451674}"/>
    <cellStyle name="Sheet Title" xfId="111" xr:uid="{00000000-0005-0000-0000-00005F030000}"/>
    <cellStyle name="Sheet Title 2" xfId="952" xr:uid="{8BCFC3A6-BB2D-4D5E-8020-D05FFC9C02FE}"/>
    <cellStyle name="Title" xfId="112" builtinId="15" customBuiltin="1"/>
    <cellStyle name="Title 2" xfId="188" xr:uid="{00000000-0005-0000-0000-000061030000}"/>
    <cellStyle name="Title 2 2" xfId="1776" xr:uid="{ADB98B37-8AFA-435A-99A3-7B4665CC5D99}"/>
    <cellStyle name="Title 3" xfId="234" xr:uid="{00000000-0005-0000-0000-000062030000}"/>
    <cellStyle name="Title 3 2" xfId="1781" xr:uid="{7A96A93C-5C7A-48C4-892A-D1210E7AD1F9}"/>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2 2" xfId="1778" xr:uid="{179976E3-04EB-4C47-B29E-63F54A6D3201}"/>
    <cellStyle name="Total 2 2 2" xfId="3162" xr:uid="{ED8282DE-82DE-4016-90DC-792A93E0888E}"/>
    <cellStyle name="Total 2 3" xfId="3172" xr:uid="{EC3534D5-41D2-43AF-B4AC-8C381F170761}"/>
    <cellStyle name="Total 2 4" xfId="1777" xr:uid="{20809672-789B-4F9B-B2B6-D104885B016E}"/>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Total 9" xfId="921" xr:uid="{CBF16F10-0DCE-471F-A0DF-D7C35B026FA1}"/>
    <cellStyle name="Warning Text" xfId="114" builtinId="11" customBuiltin="1"/>
    <cellStyle name="Warning Text 2" xfId="190" xr:uid="{00000000-0005-0000-0000-000071030000}"/>
    <cellStyle name="Warning Text 2 2" xfId="1780" xr:uid="{EA50F5AF-5E34-46C1-BA71-AEF18B03B35A}"/>
    <cellStyle name="Warning Text 2 3" xfId="1779" xr:uid="{98C1911D-39B9-4F4F-9CB0-6DD0C6BC9035}"/>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 name="Warning Text 9" xfId="982" xr:uid="{7D936705-C758-4CB3-936A-91C98D837605}"/>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CCFF66"/>
      <color rgb="FF00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2021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6953125" defaultRowHeight="12.5"/>
  <cols>
    <col min="1" max="1" width="9.7265625" style="10" customWidth="1"/>
    <col min="2" max="2" width="28.6328125" style="10" customWidth="1"/>
    <col min="3" max="3" width="16.6328125" style="10" customWidth="1"/>
    <col min="4" max="4" width="17.36328125" style="10" customWidth="1"/>
    <col min="5" max="5" width="15" style="10" customWidth="1"/>
    <col min="6" max="6" width="23.26953125" style="10" bestFit="1" customWidth="1"/>
    <col min="7" max="7" width="13.26953125" style="10" bestFit="1" customWidth="1"/>
    <col min="8" max="16384" width="9.26953125" style="10"/>
  </cols>
  <sheetData>
    <row r="1" spans="1:8" s="395" customFormat="1" ht="39.5" thickBot="1">
      <c r="A1" s="396" t="s">
        <v>0</v>
      </c>
      <c r="B1" s="396" t="s">
        <v>1</v>
      </c>
      <c r="C1" s="396" t="s">
        <v>2</v>
      </c>
      <c r="D1" s="396" t="s">
        <v>3</v>
      </c>
      <c r="E1" s="397" t="s">
        <v>4</v>
      </c>
      <c r="F1" s="398" t="s">
        <v>5</v>
      </c>
      <c r="G1" s="399" t="s">
        <v>6</v>
      </c>
      <c r="H1" s="400" t="s">
        <v>7</v>
      </c>
    </row>
    <row r="2" spans="1:8" ht="15.5" thickTop="1" thickBot="1">
      <c r="A2" s="405">
        <v>0</v>
      </c>
      <c r="B2" s="85" t="s">
        <v>8</v>
      </c>
      <c r="C2" s="406"/>
      <c r="D2" s="396" t="s">
        <v>9</v>
      </c>
      <c r="E2" s="401">
        <v>1</v>
      </c>
      <c r="F2" s="402" t="s">
        <v>10</v>
      </c>
      <c r="G2" s="392">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4</v>
      </c>
      <c r="H2" s="404">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0.591757080078125</v>
      </c>
    </row>
    <row r="3" spans="1:8" ht="15.5" thickTop="1" thickBot="1">
      <c r="A3" s="393">
        <v>1</v>
      </c>
      <c r="B3" s="390" t="s">
        <v>11</v>
      </c>
      <c r="C3" s="406"/>
      <c r="D3" s="391" t="s">
        <v>9</v>
      </c>
      <c r="E3" s="401">
        <v>1</v>
      </c>
      <c r="F3" s="402" t="s">
        <v>10</v>
      </c>
      <c r="G3"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14093</v>
      </c>
      <c r="H3"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1.9730200000000002</v>
      </c>
    </row>
    <row r="4" spans="1:8" ht="15.5" thickTop="1" thickBot="1">
      <c r="A4" s="393">
        <v>2</v>
      </c>
      <c r="B4" s="390" t="s">
        <v>12</v>
      </c>
      <c r="C4" s="406" t="s">
        <v>13</v>
      </c>
      <c r="D4" s="391" t="s">
        <v>9</v>
      </c>
      <c r="E4" s="401">
        <v>1</v>
      </c>
      <c r="F4" s="402" t="s">
        <v>10</v>
      </c>
      <c r="G4" s="392"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4" s="404"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5" spans="1:8" ht="15.5" thickTop="1" thickBot="1">
      <c r="A5" s="393">
        <v>3</v>
      </c>
      <c r="B5" s="390" t="s">
        <v>14</v>
      </c>
      <c r="C5" s="406"/>
      <c r="D5" s="391" t="s">
        <v>9</v>
      </c>
      <c r="E5" s="401">
        <v>1</v>
      </c>
      <c r="F5" s="402" t="s">
        <v>10</v>
      </c>
      <c r="G5" s="392"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5" s="404"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6" spans="1:8" ht="15.5" thickTop="1" thickBot="1">
      <c r="A6" s="393">
        <v>4</v>
      </c>
      <c r="B6" s="390" t="s">
        <v>15</v>
      </c>
      <c r="C6" s="406" t="s">
        <v>16</v>
      </c>
      <c r="D6" s="391" t="s">
        <v>9</v>
      </c>
      <c r="E6" s="401">
        <v>1</v>
      </c>
      <c r="F6" s="402" t="s">
        <v>10</v>
      </c>
      <c r="G6" s="392"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6" s="404"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7" spans="1:8" ht="15.5" thickTop="1" thickBot="1">
      <c r="A7" s="393">
        <v>5</v>
      </c>
      <c r="B7" s="391" t="s">
        <v>17</v>
      </c>
      <c r="C7" s="406" t="s">
        <v>18</v>
      </c>
      <c r="D7" s="391" t="s">
        <v>19</v>
      </c>
      <c r="E7" s="401">
        <v>1</v>
      </c>
      <c r="F7" s="402" t="s">
        <v>10</v>
      </c>
      <c r="G7"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17376</v>
      </c>
      <c r="H7"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1.9547919699107298E-4</v>
      </c>
    </row>
    <row r="8" spans="1:8" ht="15.5" thickTop="1" thickBot="1">
      <c r="A8" s="393">
        <v>6</v>
      </c>
      <c r="B8" s="391" t="s">
        <v>20</v>
      </c>
      <c r="C8" s="406" t="s">
        <v>18</v>
      </c>
      <c r="D8" s="391" t="s">
        <v>9</v>
      </c>
      <c r="E8" s="401">
        <v>1</v>
      </c>
      <c r="F8" s="402" t="s">
        <v>10</v>
      </c>
      <c r="G8"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704</v>
      </c>
      <c r="H8"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2.559620887041092E-4</v>
      </c>
    </row>
    <row r="9" spans="1:8" ht="15.5" thickTop="1" thickBot="1">
      <c r="A9" s="393">
        <v>7</v>
      </c>
      <c r="B9" s="391" t="s">
        <v>21</v>
      </c>
      <c r="C9" s="406" t="s">
        <v>22</v>
      </c>
      <c r="D9" s="391" t="s">
        <v>19</v>
      </c>
      <c r="E9" s="401">
        <v>1</v>
      </c>
      <c r="F9" s="402" t="s">
        <v>10</v>
      </c>
      <c r="G9"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10225</v>
      </c>
      <c r="H9"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0" spans="1:8" ht="15.5" thickTop="1" thickBot="1">
      <c r="A10" s="393">
        <v>8</v>
      </c>
      <c r="B10" s="391" t="s">
        <v>23</v>
      </c>
      <c r="C10" s="406" t="s">
        <v>22</v>
      </c>
      <c r="D10" s="391" t="s">
        <v>9</v>
      </c>
      <c r="E10" s="401">
        <v>1</v>
      </c>
      <c r="F10" s="402" t="s">
        <v>10</v>
      </c>
      <c r="G10"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2652</v>
      </c>
      <c r="H10"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1" spans="1:8" ht="15.5" thickTop="1" thickBot="1">
      <c r="A11" s="393">
        <v>9</v>
      </c>
      <c r="B11" s="391" t="s">
        <v>24</v>
      </c>
      <c r="C11" s="406"/>
      <c r="D11" s="391" t="s">
        <v>9</v>
      </c>
      <c r="E11" s="401">
        <v>1</v>
      </c>
      <c r="F11" s="402" t="s">
        <v>10</v>
      </c>
      <c r="G11"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1"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2" spans="1:8" ht="15.5" thickTop="1" thickBot="1">
      <c r="A12" s="393">
        <v>10</v>
      </c>
      <c r="B12" s="391" t="s">
        <v>25</v>
      </c>
      <c r="C12" s="406"/>
      <c r="D12" s="391" t="s">
        <v>9</v>
      </c>
      <c r="E12" s="401">
        <v>1</v>
      </c>
      <c r="F12" s="402" t="s">
        <v>10</v>
      </c>
      <c r="G12"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2"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3" spans="1:8" ht="18" customHeight="1" thickTop="1" thickBot="1">
      <c r="A13" s="393">
        <v>11</v>
      </c>
      <c r="B13" s="391" t="s">
        <v>26</v>
      </c>
      <c r="C13" s="406"/>
      <c r="D13" s="391" t="s">
        <v>9</v>
      </c>
      <c r="E13" s="401">
        <v>1</v>
      </c>
      <c r="F13" s="402" t="s">
        <v>10</v>
      </c>
      <c r="G13"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17743</v>
      </c>
      <c r="H13"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0.17743</v>
      </c>
    </row>
    <row r="14" spans="1:8" ht="13.5" thickTop="1" thickBot="1">
      <c r="A14" s="393">
        <v>12</v>
      </c>
      <c r="B14" s="390" t="s">
        <v>27</v>
      </c>
      <c r="C14" s="390"/>
      <c r="D14" s="391" t="s">
        <v>19</v>
      </c>
      <c r="E14" s="401">
        <v>1</v>
      </c>
      <c r="F14" s="402" t="s">
        <v>10</v>
      </c>
      <c r="G14"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111812</v>
      </c>
      <c r="H14"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4.327015207260847</v>
      </c>
    </row>
    <row r="15" spans="1:8" ht="15.5" thickTop="1" thickBot="1">
      <c r="A15" s="405">
        <v>0</v>
      </c>
      <c r="B15" s="85" t="s">
        <v>8</v>
      </c>
      <c r="C15" s="406"/>
      <c r="D15" s="396" t="s">
        <v>9</v>
      </c>
      <c r="E15" s="401">
        <v>2</v>
      </c>
      <c r="F15" s="402" t="s">
        <v>28</v>
      </c>
      <c r="G15" s="392">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4</v>
      </c>
      <c r="H15" s="404">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0.49343344116210935</v>
      </c>
    </row>
    <row r="16" spans="1:8" ht="15.5" thickTop="1" thickBot="1">
      <c r="A16" s="393">
        <v>1</v>
      </c>
      <c r="B16" s="391" t="s">
        <v>11</v>
      </c>
      <c r="C16" s="406"/>
      <c r="D16" s="391" t="s">
        <v>9</v>
      </c>
      <c r="E16" s="394">
        <v>2</v>
      </c>
      <c r="F16" s="403" t="s">
        <v>28</v>
      </c>
      <c r="G16"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14068</v>
      </c>
      <c r="H16"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1.9695200000000002</v>
      </c>
    </row>
    <row r="17" spans="1:8" ht="15.5" thickTop="1" thickBot="1">
      <c r="A17" s="393">
        <v>2</v>
      </c>
      <c r="B17" s="391" t="s">
        <v>12</v>
      </c>
      <c r="C17" s="406" t="s">
        <v>13</v>
      </c>
      <c r="D17" s="391" t="s">
        <v>9</v>
      </c>
      <c r="E17" s="394">
        <v>2</v>
      </c>
      <c r="F17" s="403" t="s">
        <v>28</v>
      </c>
      <c r="G17" s="392"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7" s="404"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8" spans="1:8" ht="15.5" thickTop="1" thickBot="1">
      <c r="A18" s="393">
        <v>3</v>
      </c>
      <c r="B18" s="391" t="s">
        <v>14</v>
      </c>
      <c r="C18" s="406"/>
      <c r="D18" s="391" t="s">
        <v>9</v>
      </c>
      <c r="E18" s="394">
        <v>2</v>
      </c>
      <c r="F18" s="403" t="s">
        <v>28</v>
      </c>
      <c r="G18" s="392"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8" s="404"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9" spans="1:8" ht="15.5" thickTop="1" thickBot="1">
      <c r="A19" s="393">
        <v>4</v>
      </c>
      <c r="B19" s="391" t="s">
        <v>15</v>
      </c>
      <c r="C19" s="406" t="s">
        <v>16</v>
      </c>
      <c r="D19" s="391" t="s">
        <v>9</v>
      </c>
      <c r="E19" s="394">
        <v>2</v>
      </c>
      <c r="F19" s="403" t="s">
        <v>28</v>
      </c>
      <c r="G19" s="392"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9" s="404"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20" spans="1:8" ht="15.5" thickTop="1" thickBot="1">
      <c r="A20" s="393">
        <v>5</v>
      </c>
      <c r="B20" s="391" t="s">
        <v>17</v>
      </c>
      <c r="C20" s="406" t="s">
        <v>18</v>
      </c>
      <c r="D20" s="391" t="s">
        <v>19</v>
      </c>
      <c r="E20" s="394">
        <v>2</v>
      </c>
      <c r="F20" s="403" t="s">
        <v>28</v>
      </c>
      <c r="G20"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17278</v>
      </c>
      <c r="H20"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4.5015298280304707E-5</v>
      </c>
    </row>
    <row r="21" spans="1:8" ht="15.5" thickTop="1" thickBot="1">
      <c r="A21" s="393">
        <v>6</v>
      </c>
      <c r="B21" s="391" t="s">
        <v>20</v>
      </c>
      <c r="C21" s="406" t="s">
        <v>18</v>
      </c>
      <c r="D21" s="391" t="s">
        <v>9</v>
      </c>
      <c r="E21" s="394">
        <v>2</v>
      </c>
      <c r="F21" s="403" t="s">
        <v>28</v>
      </c>
      <c r="G21"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704</v>
      </c>
      <c r="H21"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5.9277471620589494E-5</v>
      </c>
    </row>
    <row r="22" spans="1:8" ht="15.5" thickTop="1" thickBot="1">
      <c r="A22" s="393">
        <v>7</v>
      </c>
      <c r="B22" s="391" t="s">
        <v>21</v>
      </c>
      <c r="C22" s="406" t="s">
        <v>22</v>
      </c>
      <c r="D22" s="391" t="s">
        <v>19</v>
      </c>
      <c r="E22" s="394">
        <v>2</v>
      </c>
      <c r="F22" s="403" t="s">
        <v>28</v>
      </c>
      <c r="G22"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10185</v>
      </c>
      <c r="H22"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3" spans="1:8" ht="15.5" thickTop="1" thickBot="1">
      <c r="A23" s="393">
        <v>8</v>
      </c>
      <c r="B23" s="391" t="s">
        <v>23</v>
      </c>
      <c r="C23" s="406" t="s">
        <v>22</v>
      </c>
      <c r="D23" s="391" t="s">
        <v>9</v>
      </c>
      <c r="E23" s="394">
        <v>2</v>
      </c>
      <c r="F23" s="403" t="s">
        <v>28</v>
      </c>
      <c r="G23"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2648</v>
      </c>
      <c r="H23"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4" spans="1:8" ht="15.5" thickTop="1" thickBot="1">
      <c r="A24" s="393">
        <v>9</v>
      </c>
      <c r="B24" s="391" t="s">
        <v>24</v>
      </c>
      <c r="C24" s="406"/>
      <c r="D24" s="391" t="s">
        <v>9</v>
      </c>
      <c r="E24" s="394">
        <v>2</v>
      </c>
      <c r="F24" s="403" t="s">
        <v>28</v>
      </c>
      <c r="G24"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4"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5" spans="1:8" ht="15.5" thickTop="1" thickBot="1">
      <c r="A25" s="393">
        <v>10</v>
      </c>
      <c r="B25" s="391" t="s">
        <v>25</v>
      </c>
      <c r="C25" s="406"/>
      <c r="D25" s="391" t="s">
        <v>9</v>
      </c>
      <c r="E25" s="394">
        <v>2</v>
      </c>
      <c r="F25" s="403" t="s">
        <v>28</v>
      </c>
      <c r="G25"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5"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6" spans="1:8" ht="15.5" thickTop="1" thickBot="1">
      <c r="A26" s="393">
        <v>11</v>
      </c>
      <c r="B26" s="391" t="s">
        <v>26</v>
      </c>
      <c r="C26" s="406"/>
      <c r="D26" s="391" t="s">
        <v>9</v>
      </c>
      <c r="E26" s="394">
        <v>2</v>
      </c>
      <c r="F26" s="403" t="s">
        <v>28</v>
      </c>
      <c r="G26"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18502</v>
      </c>
      <c r="H26"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0.18502000000000002</v>
      </c>
    </row>
    <row r="27" spans="1:8" ht="13.5" thickTop="1" thickBot="1">
      <c r="A27" s="393">
        <v>12</v>
      </c>
      <c r="B27" s="391" t="s">
        <v>27</v>
      </c>
      <c r="C27" s="390"/>
      <c r="D27" s="391" t="s">
        <v>19</v>
      </c>
      <c r="E27" s="394">
        <v>2</v>
      </c>
      <c r="F27" s="403" t="s">
        <v>28</v>
      </c>
      <c r="G27"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111739</v>
      </c>
      <c r="H27"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3.8396224975138904</v>
      </c>
    </row>
    <row r="28" spans="1:8" ht="15.5" thickTop="1" thickBot="1">
      <c r="A28" s="405">
        <v>0</v>
      </c>
      <c r="B28" s="85" t="s">
        <v>8</v>
      </c>
      <c r="C28" s="406"/>
      <c r="D28" s="396" t="s">
        <v>9</v>
      </c>
      <c r="E28" s="401">
        <v>3</v>
      </c>
      <c r="F28" s="402" t="s">
        <v>29</v>
      </c>
      <c r="G28" s="392">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28" s="404">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0.61670471191406251</v>
      </c>
    </row>
    <row r="29" spans="1:8" ht="15.5" thickTop="1" thickBot="1">
      <c r="A29" s="393">
        <v>1</v>
      </c>
      <c r="B29" s="391" t="s">
        <v>11</v>
      </c>
      <c r="C29" s="406"/>
      <c r="D29" s="391" t="s">
        <v>9</v>
      </c>
      <c r="E29" s="394">
        <v>3</v>
      </c>
      <c r="F29" s="403" t="s">
        <v>29</v>
      </c>
      <c r="G29"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13616</v>
      </c>
      <c r="H29"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0" spans="1:8" ht="15.5" thickTop="1" thickBot="1">
      <c r="A30" s="393">
        <v>2</v>
      </c>
      <c r="B30" s="391" t="s">
        <v>12</v>
      </c>
      <c r="C30" s="406" t="s">
        <v>13</v>
      </c>
      <c r="D30" s="391" t="s">
        <v>9</v>
      </c>
      <c r="E30" s="394">
        <v>3</v>
      </c>
      <c r="F30" s="403" t="s">
        <v>29</v>
      </c>
      <c r="G30"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0" s="404"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1" spans="1:8" ht="15.5" thickTop="1" thickBot="1">
      <c r="A31" s="393">
        <v>3</v>
      </c>
      <c r="B31" s="391" t="s">
        <v>14</v>
      </c>
      <c r="C31" s="406"/>
      <c r="D31" s="391" t="s">
        <v>9</v>
      </c>
      <c r="E31" s="394">
        <v>3</v>
      </c>
      <c r="F31" s="403" t="s">
        <v>29</v>
      </c>
      <c r="G31"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1" s="404"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2" spans="1:8" ht="15.5" thickTop="1" thickBot="1">
      <c r="A32" s="393">
        <v>4</v>
      </c>
      <c r="B32" s="391" t="s">
        <v>15</v>
      </c>
      <c r="C32" s="406" t="s">
        <v>16</v>
      </c>
      <c r="D32" s="391" t="s">
        <v>9</v>
      </c>
      <c r="E32" s="394">
        <v>3</v>
      </c>
      <c r="F32" s="403" t="s">
        <v>29</v>
      </c>
      <c r="G32"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2" s="404"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3" spans="1:8" ht="15.5" thickTop="1" thickBot="1">
      <c r="A33" s="393">
        <v>5</v>
      </c>
      <c r="B33" s="391" t="s">
        <v>17</v>
      </c>
      <c r="C33" s="406" t="s">
        <v>18</v>
      </c>
      <c r="D33" s="391" t="s">
        <v>19</v>
      </c>
      <c r="E33" s="394">
        <v>3</v>
      </c>
      <c r="F33" s="403" t="s">
        <v>29</v>
      </c>
      <c r="G33"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17050</v>
      </c>
      <c r="H33"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4" spans="1:8" ht="15.5" thickTop="1" thickBot="1">
      <c r="A34" s="393">
        <v>6</v>
      </c>
      <c r="B34" s="391" t="s">
        <v>20</v>
      </c>
      <c r="C34" s="406" t="s">
        <v>18</v>
      </c>
      <c r="D34" s="391" t="s">
        <v>9</v>
      </c>
      <c r="E34" s="394">
        <v>3</v>
      </c>
      <c r="F34" s="403" t="s">
        <v>29</v>
      </c>
      <c r="G34"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268</v>
      </c>
      <c r="H34"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5" spans="1:8" ht="15.5" thickTop="1" thickBot="1">
      <c r="A35" s="393">
        <v>7</v>
      </c>
      <c r="B35" s="391" t="s">
        <v>21</v>
      </c>
      <c r="C35" s="406" t="s">
        <v>22</v>
      </c>
      <c r="D35" s="391" t="s">
        <v>19</v>
      </c>
      <c r="E35" s="394">
        <v>3</v>
      </c>
      <c r="F35" s="403" t="s">
        <v>29</v>
      </c>
      <c r="G35"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10091</v>
      </c>
      <c r="H35"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6" spans="1:8" ht="15.5" thickTop="1" thickBot="1">
      <c r="A36" s="393">
        <v>8</v>
      </c>
      <c r="B36" s="391" t="s">
        <v>23</v>
      </c>
      <c r="C36" s="406" t="s">
        <v>22</v>
      </c>
      <c r="D36" s="391" t="s">
        <v>9</v>
      </c>
      <c r="E36" s="394">
        <v>3</v>
      </c>
      <c r="F36" s="403" t="s">
        <v>29</v>
      </c>
      <c r="G36"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2627</v>
      </c>
      <c r="H36"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7" spans="1:8" ht="15.5" thickTop="1" thickBot="1">
      <c r="A37" s="393">
        <v>9</v>
      </c>
      <c r="B37" s="391" t="s">
        <v>24</v>
      </c>
      <c r="C37" s="406"/>
      <c r="D37" s="391" t="s">
        <v>9</v>
      </c>
      <c r="E37" s="394">
        <v>3</v>
      </c>
      <c r="F37" s="403" t="s">
        <v>29</v>
      </c>
      <c r="G37"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7"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8" spans="1:8" ht="15.5" thickTop="1" thickBot="1">
      <c r="A38" s="393">
        <v>10</v>
      </c>
      <c r="B38" s="391" t="s">
        <v>25</v>
      </c>
      <c r="C38" s="406"/>
      <c r="D38" s="391" t="s">
        <v>9</v>
      </c>
      <c r="E38" s="394">
        <v>3</v>
      </c>
      <c r="F38" s="403" t="s">
        <v>29</v>
      </c>
      <c r="G38"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8"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9" spans="1:8" ht="15.5" thickTop="1" thickBot="1">
      <c r="A39" s="393">
        <v>11</v>
      </c>
      <c r="B39" s="391" t="s">
        <v>26</v>
      </c>
      <c r="C39" s="406"/>
      <c r="D39" s="391" t="s">
        <v>9</v>
      </c>
      <c r="E39" s="394">
        <v>3</v>
      </c>
      <c r="F39" s="403" t="s">
        <v>29</v>
      </c>
      <c r="G39"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19323</v>
      </c>
      <c r="H39"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2.0116550958380491E-3</v>
      </c>
    </row>
    <row r="40" spans="1:8" ht="13.5" thickTop="1" thickBot="1">
      <c r="A40" s="393">
        <v>12</v>
      </c>
      <c r="B40" s="391" t="s">
        <v>27</v>
      </c>
      <c r="C40" s="390"/>
      <c r="D40" s="391" t="s">
        <v>19</v>
      </c>
      <c r="E40" s="394">
        <v>3</v>
      </c>
      <c r="F40" s="403" t="s">
        <v>29</v>
      </c>
      <c r="G40"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111470</v>
      </c>
      <c r="H40"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4.7142752863180295</v>
      </c>
    </row>
    <row r="41" spans="1:8" ht="15.5" thickTop="1" thickBot="1">
      <c r="A41" s="405">
        <v>0</v>
      </c>
      <c r="B41" s="85" t="s">
        <v>8</v>
      </c>
      <c r="C41" s="406"/>
      <c r="D41" s="396" t="s">
        <v>9</v>
      </c>
      <c r="E41" s="401">
        <v>4</v>
      </c>
      <c r="F41" s="402" t="s">
        <v>30</v>
      </c>
      <c r="G41" s="392">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4</v>
      </c>
      <c r="H41" s="404">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0.56545135498046872</v>
      </c>
    </row>
    <row r="42" spans="1:8" ht="15.5" thickTop="1" thickBot="1">
      <c r="A42" s="393">
        <v>1</v>
      </c>
      <c r="B42" s="391" t="s">
        <v>11</v>
      </c>
      <c r="C42" s="406"/>
      <c r="D42" s="391" t="s">
        <v>9</v>
      </c>
      <c r="E42" s="394">
        <v>4</v>
      </c>
      <c r="F42" s="403" t="s">
        <v>30</v>
      </c>
      <c r="G42"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13615</v>
      </c>
      <c r="H42"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3" spans="1:8" ht="15.5" thickTop="1" thickBot="1">
      <c r="A43" s="393">
        <v>2</v>
      </c>
      <c r="B43" s="391" t="s">
        <v>12</v>
      </c>
      <c r="C43" s="406" t="s">
        <v>13</v>
      </c>
      <c r="D43" s="391" t="s">
        <v>9</v>
      </c>
      <c r="E43" s="394">
        <v>4</v>
      </c>
      <c r="F43" s="403" t="s">
        <v>30</v>
      </c>
      <c r="G43"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3" s="404"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4" spans="1:8" ht="15.5" thickTop="1" thickBot="1">
      <c r="A44" s="393">
        <v>3</v>
      </c>
      <c r="B44" s="391" t="s">
        <v>14</v>
      </c>
      <c r="C44" s="406"/>
      <c r="D44" s="391" t="s">
        <v>9</v>
      </c>
      <c r="E44" s="394">
        <v>4</v>
      </c>
      <c r="F44" s="403" t="s">
        <v>30</v>
      </c>
      <c r="G44"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4" s="404"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5" spans="1:8" ht="15.5" thickTop="1" thickBot="1">
      <c r="A45" s="393">
        <v>4</v>
      </c>
      <c r="B45" s="391" t="s">
        <v>15</v>
      </c>
      <c r="C45" s="406" t="s">
        <v>16</v>
      </c>
      <c r="D45" s="391" t="s">
        <v>9</v>
      </c>
      <c r="E45" s="394">
        <v>4</v>
      </c>
      <c r="F45" s="403" t="s">
        <v>30</v>
      </c>
      <c r="G45"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5" s="404"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6" spans="1:8" ht="15.5" thickTop="1" thickBot="1">
      <c r="A46" s="393">
        <v>5</v>
      </c>
      <c r="B46" s="391" t="s">
        <v>17</v>
      </c>
      <c r="C46" s="406" t="s">
        <v>18</v>
      </c>
      <c r="D46" s="391" t="s">
        <v>19</v>
      </c>
      <c r="E46" s="394">
        <v>4</v>
      </c>
      <c r="F46" s="403" t="s">
        <v>30</v>
      </c>
      <c r="G46"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17283</v>
      </c>
      <c r="H46"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0.63219965072348705</v>
      </c>
    </row>
    <row r="47" spans="1:8" ht="15.5" thickTop="1" thickBot="1">
      <c r="A47" s="393">
        <v>6</v>
      </c>
      <c r="B47" s="391" t="s">
        <v>20</v>
      </c>
      <c r="C47" s="406" t="s">
        <v>18</v>
      </c>
      <c r="D47" s="391" t="s">
        <v>9</v>
      </c>
      <c r="E47" s="394">
        <v>4</v>
      </c>
      <c r="F47" s="403" t="s">
        <v>30</v>
      </c>
      <c r="G47"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268</v>
      </c>
      <c r="H47"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9.207833182811738E-2</v>
      </c>
    </row>
    <row r="48" spans="1:8" ht="15.5" thickTop="1" thickBot="1">
      <c r="A48" s="393">
        <v>7</v>
      </c>
      <c r="B48" s="391" t="s">
        <v>21</v>
      </c>
      <c r="C48" s="406" t="s">
        <v>22</v>
      </c>
      <c r="D48" s="391" t="s">
        <v>19</v>
      </c>
      <c r="E48" s="394">
        <v>4</v>
      </c>
      <c r="F48" s="403" t="s">
        <v>30</v>
      </c>
      <c r="G48"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9815</v>
      </c>
      <c r="H48"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0.27112955999999999</v>
      </c>
    </row>
    <row r="49" spans="1:8" ht="15.5" thickTop="1" thickBot="1">
      <c r="A49" s="393">
        <v>8</v>
      </c>
      <c r="B49" s="391" t="s">
        <v>23</v>
      </c>
      <c r="C49" s="406" t="s">
        <v>22</v>
      </c>
      <c r="D49" s="391" t="s">
        <v>9</v>
      </c>
      <c r="E49" s="394">
        <v>4</v>
      </c>
      <c r="F49" s="403" t="s">
        <v>30</v>
      </c>
      <c r="G49"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2774</v>
      </c>
      <c r="H49"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0.15616732319999999</v>
      </c>
    </row>
    <row r="50" spans="1:8" ht="15.5" thickTop="1" thickBot="1">
      <c r="A50" s="393">
        <v>9</v>
      </c>
      <c r="B50" s="391" t="s">
        <v>24</v>
      </c>
      <c r="C50" s="406"/>
      <c r="D50" s="391" t="s">
        <v>9</v>
      </c>
      <c r="E50" s="394">
        <v>4</v>
      </c>
      <c r="F50" s="403" t="s">
        <v>30</v>
      </c>
      <c r="G50"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0"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1" spans="1:8" ht="15.5" thickTop="1" thickBot="1">
      <c r="A51" s="393">
        <v>10</v>
      </c>
      <c r="B51" s="391" t="s">
        <v>25</v>
      </c>
      <c r="C51" s="406"/>
      <c r="D51" s="391" t="s">
        <v>9</v>
      </c>
      <c r="E51" s="394">
        <v>4</v>
      </c>
      <c r="F51" s="403" t="s">
        <v>30</v>
      </c>
      <c r="G51"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1"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2" spans="1:8" ht="15.5" thickTop="1" thickBot="1">
      <c r="A52" s="393">
        <v>11</v>
      </c>
      <c r="B52" s="391" t="s">
        <v>26</v>
      </c>
      <c r="C52" s="406"/>
      <c r="D52" s="391" t="s">
        <v>9</v>
      </c>
      <c r="E52" s="394">
        <v>4</v>
      </c>
      <c r="F52" s="403" t="s">
        <v>30</v>
      </c>
      <c r="G52"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16109</v>
      </c>
      <c r="H52"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1.1831353974535091E-2</v>
      </c>
    </row>
    <row r="53" spans="1:8" ht="13.5" thickTop="1" thickBot="1">
      <c r="A53" s="393">
        <v>12</v>
      </c>
      <c r="B53" s="391" t="s">
        <v>27</v>
      </c>
      <c r="C53" s="390"/>
      <c r="D53" s="391" t="s">
        <v>19</v>
      </c>
      <c r="E53" s="394">
        <v>4</v>
      </c>
      <c r="F53" s="403" t="s">
        <v>30</v>
      </c>
      <c r="G53"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112449</v>
      </c>
      <c r="H53"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5.1785319546330015</v>
      </c>
    </row>
    <row r="54" spans="1:8" ht="15.5" thickTop="1" thickBot="1">
      <c r="A54" s="405">
        <v>0</v>
      </c>
      <c r="B54" s="85" t="s">
        <v>8</v>
      </c>
      <c r="C54" s="406"/>
      <c r="D54" s="396" t="s">
        <v>9</v>
      </c>
      <c r="E54" s="401">
        <v>5</v>
      </c>
      <c r="F54" s="402" t="s">
        <v>31</v>
      </c>
      <c r="G54" s="392">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54" s="404">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55" spans="1:8" ht="15.5" thickTop="1" thickBot="1">
      <c r="A55" s="393">
        <v>1</v>
      </c>
      <c r="B55" s="391" t="s">
        <v>11</v>
      </c>
      <c r="C55" s="406"/>
      <c r="D55" s="391" t="s">
        <v>9</v>
      </c>
      <c r="E55" s="394">
        <v>5</v>
      </c>
      <c r="F55" s="403" t="s">
        <v>31</v>
      </c>
      <c r="G55"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55"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56" spans="1:8" ht="15.5" thickTop="1" thickBot="1">
      <c r="A56" s="393">
        <v>2</v>
      </c>
      <c r="B56" s="391" t="s">
        <v>12</v>
      </c>
      <c r="C56" s="406" t="s">
        <v>13</v>
      </c>
      <c r="D56" s="391" t="s">
        <v>9</v>
      </c>
      <c r="E56" s="394">
        <v>5</v>
      </c>
      <c r="F56" s="403" t="s">
        <v>31</v>
      </c>
      <c r="G56"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6" s="404"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7" spans="1:8" ht="15.5" thickTop="1" thickBot="1">
      <c r="A57" s="393">
        <v>3</v>
      </c>
      <c r="B57" s="391" t="s">
        <v>14</v>
      </c>
      <c r="C57" s="406"/>
      <c r="D57" s="391" t="s">
        <v>9</v>
      </c>
      <c r="E57" s="394">
        <v>5</v>
      </c>
      <c r="F57" s="403" t="s">
        <v>31</v>
      </c>
      <c r="G57"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7" s="404"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8" spans="1:8" ht="15.5" thickTop="1" thickBot="1">
      <c r="A58" s="393">
        <v>4</v>
      </c>
      <c r="B58" s="391" t="s">
        <v>15</v>
      </c>
      <c r="C58" s="406" t="s">
        <v>16</v>
      </c>
      <c r="D58" s="391" t="s">
        <v>9</v>
      </c>
      <c r="E58" s="394">
        <v>5</v>
      </c>
      <c r="F58" s="403" t="s">
        <v>31</v>
      </c>
      <c r="G58"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8" s="404"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9" spans="1:8" ht="15.5" thickTop="1" thickBot="1">
      <c r="A59" s="393">
        <v>5</v>
      </c>
      <c r="B59" s="391" t="s">
        <v>17</v>
      </c>
      <c r="C59" s="406" t="s">
        <v>18</v>
      </c>
      <c r="D59" s="391" t="s">
        <v>19</v>
      </c>
      <c r="E59" s="394">
        <v>5</v>
      </c>
      <c r="F59" s="403" t="s">
        <v>31</v>
      </c>
      <c r="G59"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59"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0" spans="1:8" ht="15.5" thickTop="1" thickBot="1">
      <c r="A60" s="393">
        <v>6</v>
      </c>
      <c r="B60" s="391" t="s">
        <v>20</v>
      </c>
      <c r="C60" s="406" t="s">
        <v>18</v>
      </c>
      <c r="D60" s="391" t="s">
        <v>9</v>
      </c>
      <c r="E60" s="394">
        <v>5</v>
      </c>
      <c r="F60" s="403" t="s">
        <v>31</v>
      </c>
      <c r="G60"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0"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1" spans="1:8" ht="15.5" thickTop="1" thickBot="1">
      <c r="A61" s="393">
        <v>7</v>
      </c>
      <c r="B61" s="391" t="s">
        <v>21</v>
      </c>
      <c r="C61" s="406" t="s">
        <v>22</v>
      </c>
      <c r="D61" s="391" t="s">
        <v>19</v>
      </c>
      <c r="E61" s="394">
        <v>5</v>
      </c>
      <c r="F61" s="403" t="s">
        <v>31</v>
      </c>
      <c r="G61"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1"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2" spans="1:8" ht="15.5" thickTop="1" thickBot="1">
      <c r="A62" s="393">
        <v>8</v>
      </c>
      <c r="B62" s="391" t="s">
        <v>23</v>
      </c>
      <c r="C62" s="406" t="s">
        <v>22</v>
      </c>
      <c r="D62" s="391" t="s">
        <v>9</v>
      </c>
      <c r="E62" s="394">
        <v>5</v>
      </c>
      <c r="F62" s="403" t="s">
        <v>31</v>
      </c>
      <c r="G62"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2"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3" spans="1:8" ht="15.5" thickTop="1" thickBot="1">
      <c r="A63" s="393">
        <v>9</v>
      </c>
      <c r="B63" s="391" t="s">
        <v>24</v>
      </c>
      <c r="C63" s="406"/>
      <c r="D63" s="391" t="s">
        <v>9</v>
      </c>
      <c r="E63" s="394">
        <v>5</v>
      </c>
      <c r="F63" s="403" t="s">
        <v>31</v>
      </c>
      <c r="G63"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3"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4" spans="1:8" ht="15.5" thickTop="1" thickBot="1">
      <c r="A64" s="393">
        <v>10</v>
      </c>
      <c r="B64" s="391" t="s">
        <v>25</v>
      </c>
      <c r="C64" s="406"/>
      <c r="D64" s="391" t="s">
        <v>9</v>
      </c>
      <c r="E64" s="394">
        <v>5</v>
      </c>
      <c r="F64" s="403" t="s">
        <v>31</v>
      </c>
      <c r="G64"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4"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5" spans="1:8" ht="15.5" thickTop="1" thickBot="1">
      <c r="A65" s="393">
        <v>11</v>
      </c>
      <c r="B65" s="391" t="s">
        <v>26</v>
      </c>
      <c r="C65" s="406"/>
      <c r="D65" s="391" t="s">
        <v>9</v>
      </c>
      <c r="E65" s="394">
        <v>5</v>
      </c>
      <c r="F65" s="403" t="s">
        <v>31</v>
      </c>
      <c r="G65"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5"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6" spans="1:8" ht="13.5" thickTop="1" thickBot="1">
      <c r="A66" s="393">
        <v>12</v>
      </c>
      <c r="B66" s="391" t="s">
        <v>27</v>
      </c>
      <c r="C66" s="390"/>
      <c r="D66" s="391" t="s">
        <v>19</v>
      </c>
      <c r="E66" s="394">
        <v>5</v>
      </c>
      <c r="F66" s="403" t="s">
        <v>31</v>
      </c>
      <c r="G66"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6"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7" spans="1:8" ht="15.5" thickTop="1" thickBot="1">
      <c r="A67" s="405">
        <v>0</v>
      </c>
      <c r="B67" s="85" t="s">
        <v>8</v>
      </c>
      <c r="C67" s="406"/>
      <c r="D67" s="396" t="s">
        <v>9</v>
      </c>
      <c r="E67" s="401">
        <v>6</v>
      </c>
      <c r="F67" s="402" t="s">
        <v>32</v>
      </c>
      <c r="G67" s="392">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67" s="404">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68" spans="1:8" ht="15.5" thickTop="1" thickBot="1">
      <c r="A68" s="393">
        <v>1</v>
      </c>
      <c r="B68" s="391" t="s">
        <v>11</v>
      </c>
      <c r="C68" s="406"/>
      <c r="D68" s="391" t="s">
        <v>9</v>
      </c>
      <c r="E68" s="394">
        <v>6</v>
      </c>
      <c r="F68" s="403" t="s">
        <v>32</v>
      </c>
      <c r="G68"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68"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69" spans="1:8" ht="15.5" thickTop="1" thickBot="1">
      <c r="A69" s="393">
        <v>2</v>
      </c>
      <c r="B69" s="391" t="s">
        <v>12</v>
      </c>
      <c r="C69" s="406" t="s">
        <v>13</v>
      </c>
      <c r="D69" s="391" t="s">
        <v>9</v>
      </c>
      <c r="E69" s="394">
        <v>6</v>
      </c>
      <c r="F69" s="403" t="s">
        <v>32</v>
      </c>
      <c r="G69"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69" s="404"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0" spans="1:8" ht="15.5" thickTop="1" thickBot="1">
      <c r="A70" s="393">
        <v>3</v>
      </c>
      <c r="B70" s="391" t="s">
        <v>14</v>
      </c>
      <c r="C70" s="406"/>
      <c r="D70" s="391" t="s">
        <v>9</v>
      </c>
      <c r="E70" s="394">
        <v>6</v>
      </c>
      <c r="F70" s="403" t="s">
        <v>32</v>
      </c>
      <c r="G70"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0" s="404"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1" spans="1:8" ht="15.5" thickTop="1" thickBot="1">
      <c r="A71" s="393">
        <v>4</v>
      </c>
      <c r="B71" s="391" t="s">
        <v>15</v>
      </c>
      <c r="C71" s="406" t="s">
        <v>16</v>
      </c>
      <c r="D71" s="391" t="s">
        <v>9</v>
      </c>
      <c r="E71" s="394">
        <v>6</v>
      </c>
      <c r="F71" s="403" t="s">
        <v>32</v>
      </c>
      <c r="G71"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1" s="404"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2" spans="1:8" ht="15.5" thickTop="1" thickBot="1">
      <c r="A72" s="393">
        <v>5</v>
      </c>
      <c r="B72" s="391" t="s">
        <v>17</v>
      </c>
      <c r="C72" s="406" t="s">
        <v>18</v>
      </c>
      <c r="D72" s="391" t="s">
        <v>19</v>
      </c>
      <c r="E72" s="394">
        <v>6</v>
      </c>
      <c r="F72" s="403" t="s">
        <v>32</v>
      </c>
      <c r="G72"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2"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3" spans="1:8" ht="15.5" thickTop="1" thickBot="1">
      <c r="A73" s="393">
        <v>6</v>
      </c>
      <c r="B73" s="391" t="s">
        <v>20</v>
      </c>
      <c r="C73" s="406" t="s">
        <v>18</v>
      </c>
      <c r="D73" s="391" t="s">
        <v>9</v>
      </c>
      <c r="E73" s="394">
        <v>6</v>
      </c>
      <c r="F73" s="403" t="s">
        <v>32</v>
      </c>
      <c r="G73"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3"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4" spans="1:8" ht="15.5" thickTop="1" thickBot="1">
      <c r="A74" s="393">
        <v>7</v>
      </c>
      <c r="B74" s="391" t="s">
        <v>21</v>
      </c>
      <c r="C74" s="406" t="s">
        <v>22</v>
      </c>
      <c r="D74" s="391" t="s">
        <v>19</v>
      </c>
      <c r="E74" s="394">
        <v>6</v>
      </c>
      <c r="F74" s="403" t="s">
        <v>32</v>
      </c>
      <c r="G74"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4"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5" spans="1:8" ht="15.5" thickTop="1" thickBot="1">
      <c r="A75" s="393">
        <v>8</v>
      </c>
      <c r="B75" s="391" t="s">
        <v>23</v>
      </c>
      <c r="C75" s="406" t="s">
        <v>22</v>
      </c>
      <c r="D75" s="391" t="s">
        <v>9</v>
      </c>
      <c r="E75" s="394">
        <v>6</v>
      </c>
      <c r="F75" s="403" t="s">
        <v>32</v>
      </c>
      <c r="G75"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5"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6" spans="1:8" ht="15.5" thickTop="1" thickBot="1">
      <c r="A76" s="393">
        <v>9</v>
      </c>
      <c r="B76" s="391" t="s">
        <v>24</v>
      </c>
      <c r="C76" s="406"/>
      <c r="D76" s="391" t="s">
        <v>9</v>
      </c>
      <c r="E76" s="394">
        <v>6</v>
      </c>
      <c r="F76" s="403" t="s">
        <v>32</v>
      </c>
      <c r="G76"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6"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7" spans="1:8" ht="15.5" thickTop="1" thickBot="1">
      <c r="A77" s="393">
        <v>10</v>
      </c>
      <c r="B77" s="391" t="s">
        <v>25</v>
      </c>
      <c r="C77" s="406"/>
      <c r="D77" s="391" t="s">
        <v>9</v>
      </c>
      <c r="E77" s="394">
        <v>6</v>
      </c>
      <c r="F77" s="403" t="s">
        <v>32</v>
      </c>
      <c r="G77"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7"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8" spans="1:8" ht="15.5" thickTop="1" thickBot="1">
      <c r="A78" s="393">
        <v>11</v>
      </c>
      <c r="B78" s="391" t="s">
        <v>26</v>
      </c>
      <c r="C78" s="406"/>
      <c r="D78" s="391" t="s">
        <v>9</v>
      </c>
      <c r="E78" s="394">
        <v>6</v>
      </c>
      <c r="F78" s="403" t="s">
        <v>32</v>
      </c>
      <c r="G78"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8"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9" spans="1:8" ht="13.5" thickTop="1" thickBot="1">
      <c r="A79" s="393">
        <v>12</v>
      </c>
      <c r="B79" s="391" t="s">
        <v>27</v>
      </c>
      <c r="C79" s="390"/>
      <c r="D79" s="391" t="s">
        <v>19</v>
      </c>
      <c r="E79" s="394">
        <v>6</v>
      </c>
      <c r="F79" s="403" t="s">
        <v>32</v>
      </c>
      <c r="G79"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9"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80" spans="1:8" ht="15.5" thickTop="1" thickBot="1">
      <c r="A80" s="405">
        <v>0</v>
      </c>
      <c r="B80" s="85" t="s">
        <v>8</v>
      </c>
      <c r="C80" s="406"/>
      <c r="D80" s="396" t="s">
        <v>9</v>
      </c>
      <c r="E80" s="401">
        <v>7</v>
      </c>
      <c r="F80" s="402" t="s">
        <v>33</v>
      </c>
      <c r="G80" s="392">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0</v>
      </c>
      <c r="H80" s="404">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v>
      </c>
    </row>
    <row r="81" spans="1:8" ht="15.5" thickTop="1" thickBot="1">
      <c r="A81" s="393">
        <v>1</v>
      </c>
      <c r="B81" s="391" t="s">
        <v>11</v>
      </c>
      <c r="C81" s="406"/>
      <c r="D81" s="391" t="s">
        <v>9</v>
      </c>
      <c r="E81" s="394">
        <v>7</v>
      </c>
      <c r="F81" s="403" t="s">
        <v>33</v>
      </c>
      <c r="G81"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1" s="404">
        <f>VLOOKUP(BUReporting[[#This Row],[Program]],'Program MW '!$A$34:$S$44,3,FALSE)</f>
        <v>0</v>
      </c>
    </row>
    <row r="82" spans="1:8" ht="15.5" thickTop="1" thickBot="1">
      <c r="A82" s="393">
        <v>2</v>
      </c>
      <c r="B82" s="391" t="s">
        <v>12</v>
      </c>
      <c r="C82" s="406" t="s">
        <v>13</v>
      </c>
      <c r="D82" s="391" t="s">
        <v>9</v>
      </c>
      <c r="E82" s="394">
        <v>7</v>
      </c>
      <c r="F82" s="403" t="s">
        <v>33</v>
      </c>
      <c r="G82" s="392"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2" s="404" t="e">
        <f>VLOOKUP(BUReporting[[#This Row],[Program]],'Program MW '!$A$34:$S$44,3,FALSE)</f>
        <v>#N/A</v>
      </c>
    </row>
    <row r="83" spans="1:8" ht="15.5" thickTop="1" thickBot="1">
      <c r="A83" s="393">
        <v>3</v>
      </c>
      <c r="B83" s="391" t="s">
        <v>14</v>
      </c>
      <c r="C83" s="406"/>
      <c r="D83" s="391" t="s">
        <v>9</v>
      </c>
      <c r="E83" s="394">
        <v>7</v>
      </c>
      <c r="F83" s="403" t="s">
        <v>33</v>
      </c>
      <c r="G83" s="392"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3" s="404" t="e">
        <f>VLOOKUP(BUReporting[[#This Row],[Program]],'Program MW '!$A$34:$S$44,3,FALSE)</f>
        <v>#N/A</v>
      </c>
    </row>
    <row r="84" spans="1:8" ht="15.5" thickTop="1" thickBot="1">
      <c r="A84" s="393">
        <v>4</v>
      </c>
      <c r="B84" s="391" t="s">
        <v>15</v>
      </c>
      <c r="C84" s="406" t="s">
        <v>16</v>
      </c>
      <c r="D84" s="391" t="s">
        <v>9</v>
      </c>
      <c r="E84" s="394">
        <v>7</v>
      </c>
      <c r="F84" s="403" t="s">
        <v>33</v>
      </c>
      <c r="G84" s="392"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4" s="404" t="e">
        <f>VLOOKUP(BUReporting[[#This Row],[Program]],'Program MW '!$A$34:$S$44,3,FALSE)</f>
        <v>#N/A</v>
      </c>
    </row>
    <row r="85" spans="1:8" ht="15.5" thickTop="1" thickBot="1">
      <c r="A85" s="393">
        <v>5</v>
      </c>
      <c r="B85" s="391" t="s">
        <v>17</v>
      </c>
      <c r="C85" s="406" t="s">
        <v>18</v>
      </c>
      <c r="D85" s="391" t="s">
        <v>19</v>
      </c>
      <c r="E85" s="394">
        <v>7</v>
      </c>
      <c r="F85" s="403" t="s">
        <v>33</v>
      </c>
      <c r="G85"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5" s="404">
        <f>VLOOKUP(BUReporting[[#This Row],[Program]],'Program MW '!$A$34:$S$44,3,FALSE)</f>
        <v>0</v>
      </c>
    </row>
    <row r="86" spans="1:8" ht="15.5" thickTop="1" thickBot="1">
      <c r="A86" s="393">
        <v>6</v>
      </c>
      <c r="B86" s="391" t="s">
        <v>20</v>
      </c>
      <c r="C86" s="406" t="s">
        <v>18</v>
      </c>
      <c r="D86" s="391" t="s">
        <v>9</v>
      </c>
      <c r="E86" s="394">
        <v>7</v>
      </c>
      <c r="F86" s="403" t="s">
        <v>33</v>
      </c>
      <c r="G86"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6" s="404">
        <f>VLOOKUP(BUReporting[[#This Row],[Program]],'Program MW '!$A$34:$S$44,3,FALSE)</f>
        <v>0</v>
      </c>
    </row>
    <row r="87" spans="1:8" ht="15.5" thickTop="1" thickBot="1">
      <c r="A87" s="393">
        <v>7</v>
      </c>
      <c r="B87" s="391" t="s">
        <v>21</v>
      </c>
      <c r="C87" s="406" t="s">
        <v>22</v>
      </c>
      <c r="D87" s="391" t="s">
        <v>19</v>
      </c>
      <c r="E87" s="394">
        <v>7</v>
      </c>
      <c r="F87" s="403" t="s">
        <v>33</v>
      </c>
      <c r="G87"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7" s="404">
        <f>VLOOKUP(BUReporting[[#This Row],[Program]],'Program MW '!$A$34:$S$44,3,FALSE)</f>
        <v>0</v>
      </c>
    </row>
    <row r="88" spans="1:8" ht="15.5" thickTop="1" thickBot="1">
      <c r="A88" s="393">
        <v>8</v>
      </c>
      <c r="B88" s="391" t="s">
        <v>23</v>
      </c>
      <c r="C88" s="406" t="s">
        <v>22</v>
      </c>
      <c r="D88" s="391" t="s">
        <v>9</v>
      </c>
      <c r="E88" s="394">
        <v>7</v>
      </c>
      <c r="F88" s="403" t="s">
        <v>33</v>
      </c>
      <c r="G88"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8" s="404">
        <f>VLOOKUP(BUReporting[[#This Row],[Program]],'Program MW '!$A$34:$S$44,3,FALSE)</f>
        <v>0</v>
      </c>
    </row>
    <row r="89" spans="1:8" ht="15.5" thickTop="1" thickBot="1">
      <c r="A89" s="393">
        <v>9</v>
      </c>
      <c r="B89" s="391" t="s">
        <v>24</v>
      </c>
      <c r="C89" s="406"/>
      <c r="D89" s="391" t="s">
        <v>9</v>
      </c>
      <c r="E89" s="394">
        <v>7</v>
      </c>
      <c r="F89" s="403" t="s">
        <v>33</v>
      </c>
      <c r="G89"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9" s="404">
        <f>VLOOKUP(BUReporting[[#This Row],[Program]],'Program MW '!$A$34:$S$44,3,FALSE)</f>
        <v>0</v>
      </c>
    </row>
    <row r="90" spans="1:8" ht="15.5" thickTop="1" thickBot="1">
      <c r="A90" s="393">
        <v>10</v>
      </c>
      <c r="B90" s="391" t="s">
        <v>25</v>
      </c>
      <c r="C90" s="406"/>
      <c r="D90" s="391" t="s">
        <v>9</v>
      </c>
      <c r="E90" s="394">
        <v>7</v>
      </c>
      <c r="F90" s="403" t="s">
        <v>33</v>
      </c>
      <c r="G90"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0" s="404">
        <f>VLOOKUP(BUReporting[[#This Row],[Program]],'Program MW '!$A$34:$S$44,3,FALSE)</f>
        <v>0</v>
      </c>
    </row>
    <row r="91" spans="1:8" ht="15.5" thickTop="1" thickBot="1">
      <c r="A91" s="393">
        <v>11</v>
      </c>
      <c r="B91" s="391" t="s">
        <v>26</v>
      </c>
      <c r="C91" s="406"/>
      <c r="D91" s="391" t="s">
        <v>9</v>
      </c>
      <c r="E91" s="394">
        <v>7</v>
      </c>
      <c r="F91" s="403" t="s">
        <v>33</v>
      </c>
      <c r="G91"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1" s="404">
        <f>VLOOKUP(BUReporting[[#This Row],[Program]],'Program MW '!$A$34:$S$44,3,FALSE)</f>
        <v>0</v>
      </c>
    </row>
    <row r="92" spans="1:8" ht="13.5" thickTop="1" thickBot="1">
      <c r="A92" s="393">
        <v>12</v>
      </c>
      <c r="B92" s="391" t="s">
        <v>27</v>
      </c>
      <c r="C92" s="390"/>
      <c r="D92" s="391" t="s">
        <v>19</v>
      </c>
      <c r="E92" s="394">
        <v>7</v>
      </c>
      <c r="F92" s="403" t="s">
        <v>33</v>
      </c>
      <c r="G92"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2" s="404">
        <f>VLOOKUP(BUReporting[[#This Row],[Program]],'Program MW '!$A$34:$S$44,3,FALSE)</f>
        <v>0</v>
      </c>
    </row>
    <row r="93" spans="1:8" ht="15.5" thickTop="1" thickBot="1">
      <c r="A93" s="405">
        <v>0</v>
      </c>
      <c r="B93" s="85" t="s">
        <v>8</v>
      </c>
      <c r="C93" s="406"/>
      <c r="D93" s="396" t="s">
        <v>9</v>
      </c>
      <c r="E93" s="401">
        <v>8</v>
      </c>
      <c r="F93" s="402" t="s">
        <v>34</v>
      </c>
      <c r="G93" s="392">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0</v>
      </c>
      <c r="H93" s="404">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v>
      </c>
    </row>
    <row r="94" spans="1:8" ht="15.5" thickTop="1" thickBot="1">
      <c r="A94" s="393">
        <v>1</v>
      </c>
      <c r="B94" s="391" t="s">
        <v>11</v>
      </c>
      <c r="C94" s="406"/>
      <c r="D94" s="391" t="s">
        <v>9</v>
      </c>
      <c r="E94" s="394">
        <v>8</v>
      </c>
      <c r="F94" s="403" t="s">
        <v>34</v>
      </c>
      <c r="G94"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4" s="404">
        <f>VLOOKUP(BUReporting[[#This Row],[Program]],'Program MW '!$A$34:$S$44,6,FALSE)</f>
        <v>0</v>
      </c>
    </row>
    <row r="95" spans="1:8" ht="15.5" thickTop="1" thickBot="1">
      <c r="A95" s="393">
        <v>2</v>
      </c>
      <c r="B95" s="391" t="s">
        <v>12</v>
      </c>
      <c r="C95" s="406" t="s">
        <v>13</v>
      </c>
      <c r="D95" s="391" t="s">
        <v>9</v>
      </c>
      <c r="E95" s="394">
        <v>8</v>
      </c>
      <c r="F95" s="403" t="s">
        <v>34</v>
      </c>
      <c r="G95" s="392"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5" s="404" t="e">
        <f>VLOOKUP(BUReporting[[#This Row],[Program]],'Program MW '!$A$34:$S$44,6,FALSE)</f>
        <v>#N/A</v>
      </c>
    </row>
    <row r="96" spans="1:8" ht="15.5" thickTop="1" thickBot="1">
      <c r="A96" s="393">
        <v>3</v>
      </c>
      <c r="B96" s="391" t="s">
        <v>14</v>
      </c>
      <c r="C96" s="406"/>
      <c r="D96" s="391" t="s">
        <v>9</v>
      </c>
      <c r="E96" s="394">
        <v>8</v>
      </c>
      <c r="F96" s="403" t="s">
        <v>34</v>
      </c>
      <c r="G96" s="392"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6" s="404" t="e">
        <f>VLOOKUP(BUReporting[[#This Row],[Program]],'Program MW '!$A$34:$S$44,6,FALSE)</f>
        <v>#N/A</v>
      </c>
    </row>
    <row r="97" spans="1:8" ht="15.5" thickTop="1" thickBot="1">
      <c r="A97" s="393">
        <v>4</v>
      </c>
      <c r="B97" s="391" t="s">
        <v>15</v>
      </c>
      <c r="C97" s="406" t="s">
        <v>16</v>
      </c>
      <c r="D97" s="391" t="s">
        <v>9</v>
      </c>
      <c r="E97" s="394">
        <v>8</v>
      </c>
      <c r="F97" s="403" t="s">
        <v>34</v>
      </c>
      <c r="G97" s="392"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7" s="404" t="e">
        <f>VLOOKUP(BUReporting[[#This Row],[Program]],'Program MW '!$A$34:$S$44,6,FALSE)</f>
        <v>#N/A</v>
      </c>
    </row>
    <row r="98" spans="1:8" ht="15.5" thickTop="1" thickBot="1">
      <c r="A98" s="393">
        <v>5</v>
      </c>
      <c r="B98" s="391" t="s">
        <v>17</v>
      </c>
      <c r="C98" s="406" t="s">
        <v>18</v>
      </c>
      <c r="D98" s="391" t="s">
        <v>19</v>
      </c>
      <c r="E98" s="394">
        <v>8</v>
      </c>
      <c r="F98" s="403" t="s">
        <v>34</v>
      </c>
      <c r="G98"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8" s="404">
        <f>VLOOKUP(BUReporting[[#This Row],[Program]],'Program MW '!$A$34:$S$44,6,FALSE)</f>
        <v>0</v>
      </c>
    </row>
    <row r="99" spans="1:8" ht="15.5" thickTop="1" thickBot="1">
      <c r="A99" s="393">
        <v>6</v>
      </c>
      <c r="B99" s="391" t="s">
        <v>20</v>
      </c>
      <c r="C99" s="406" t="s">
        <v>18</v>
      </c>
      <c r="D99" s="391" t="s">
        <v>9</v>
      </c>
      <c r="E99" s="394">
        <v>8</v>
      </c>
      <c r="F99" s="403" t="s">
        <v>34</v>
      </c>
      <c r="G99"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9" s="404">
        <f>VLOOKUP(BUReporting[[#This Row],[Program]],'Program MW '!$A$34:$S$44,6,FALSE)</f>
        <v>0</v>
      </c>
    </row>
    <row r="100" spans="1:8" ht="15.5" thickTop="1" thickBot="1">
      <c r="A100" s="393">
        <v>7</v>
      </c>
      <c r="B100" s="391" t="s">
        <v>21</v>
      </c>
      <c r="C100" s="406" t="s">
        <v>22</v>
      </c>
      <c r="D100" s="391" t="s">
        <v>19</v>
      </c>
      <c r="E100" s="394">
        <v>8</v>
      </c>
      <c r="F100" s="403" t="s">
        <v>34</v>
      </c>
      <c r="G100"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0" s="404">
        <f>VLOOKUP(BUReporting[[#This Row],[Program]],'Program MW '!$A$34:$S$44,6,FALSE)</f>
        <v>0</v>
      </c>
    </row>
    <row r="101" spans="1:8" ht="15.5" thickTop="1" thickBot="1">
      <c r="A101" s="393">
        <v>8</v>
      </c>
      <c r="B101" s="391" t="s">
        <v>23</v>
      </c>
      <c r="C101" s="406" t="s">
        <v>22</v>
      </c>
      <c r="D101" s="391" t="s">
        <v>9</v>
      </c>
      <c r="E101" s="394">
        <v>8</v>
      </c>
      <c r="F101" s="403" t="s">
        <v>34</v>
      </c>
      <c r="G101"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1" s="404">
        <f>VLOOKUP(BUReporting[[#This Row],[Program]],'Program MW '!$A$34:$S$44,6,FALSE)</f>
        <v>0</v>
      </c>
    </row>
    <row r="102" spans="1:8" ht="15.5" thickTop="1" thickBot="1">
      <c r="A102" s="393">
        <v>9</v>
      </c>
      <c r="B102" s="391" t="s">
        <v>24</v>
      </c>
      <c r="C102" s="406"/>
      <c r="D102" s="391" t="s">
        <v>9</v>
      </c>
      <c r="E102" s="394">
        <v>8</v>
      </c>
      <c r="F102" s="403" t="s">
        <v>34</v>
      </c>
      <c r="G102"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2" s="404">
        <f>VLOOKUP(BUReporting[[#This Row],[Program]],'Program MW '!$A$34:$S$44,6,FALSE)</f>
        <v>0</v>
      </c>
    </row>
    <row r="103" spans="1:8" ht="15.5" thickTop="1" thickBot="1">
      <c r="A103" s="393">
        <v>10</v>
      </c>
      <c r="B103" s="391" t="s">
        <v>25</v>
      </c>
      <c r="C103" s="406"/>
      <c r="D103" s="391" t="s">
        <v>9</v>
      </c>
      <c r="E103" s="394">
        <v>8</v>
      </c>
      <c r="F103" s="403" t="s">
        <v>34</v>
      </c>
      <c r="G103"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3" s="404">
        <f>VLOOKUP(BUReporting[[#This Row],[Program]],'Program MW '!$A$34:$S$44,6,FALSE)</f>
        <v>0</v>
      </c>
    </row>
    <row r="104" spans="1:8" ht="15.5" thickTop="1" thickBot="1">
      <c r="A104" s="393">
        <v>11</v>
      </c>
      <c r="B104" s="391" t="s">
        <v>26</v>
      </c>
      <c r="C104" s="406"/>
      <c r="D104" s="391" t="s">
        <v>9</v>
      </c>
      <c r="E104" s="394">
        <v>8</v>
      </c>
      <c r="F104" s="403" t="s">
        <v>34</v>
      </c>
      <c r="G104"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4" s="404">
        <f>VLOOKUP(BUReporting[[#This Row],[Program]],'Program MW '!$A$34:$S$44,6,FALSE)</f>
        <v>0</v>
      </c>
    </row>
    <row r="105" spans="1:8" ht="13.5" thickTop="1" thickBot="1">
      <c r="A105" s="393">
        <v>12</v>
      </c>
      <c r="B105" s="391" t="s">
        <v>27</v>
      </c>
      <c r="C105" s="390"/>
      <c r="D105" s="391" t="s">
        <v>19</v>
      </c>
      <c r="E105" s="394">
        <v>8</v>
      </c>
      <c r="F105" s="403" t="s">
        <v>34</v>
      </c>
      <c r="G105"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5" s="404">
        <f>VLOOKUP(BUReporting[[#This Row],[Program]],'Program MW '!$A$34:$S$44,6,FALSE)</f>
        <v>0</v>
      </c>
    </row>
    <row r="106" spans="1:8" ht="15.5" thickTop="1" thickBot="1">
      <c r="A106" s="405">
        <v>0</v>
      </c>
      <c r="B106" s="85" t="s">
        <v>8</v>
      </c>
      <c r="C106" s="406"/>
      <c r="D106" s="396" t="s">
        <v>9</v>
      </c>
      <c r="E106" s="401">
        <v>9</v>
      </c>
      <c r="F106" s="402" t="s">
        <v>35</v>
      </c>
      <c r="G106" s="392">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106" s="404">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v>
      </c>
    </row>
    <row r="107" spans="1:8" ht="15.5" thickTop="1" thickBot="1">
      <c r="A107" s="393">
        <v>1</v>
      </c>
      <c r="B107" s="391" t="s">
        <v>11</v>
      </c>
      <c r="C107" s="406"/>
      <c r="D107" s="391" t="s">
        <v>9</v>
      </c>
      <c r="E107" s="394">
        <v>9</v>
      </c>
      <c r="F107" s="403" t="s">
        <v>35</v>
      </c>
      <c r="G107"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07" s="404">
        <f>VLOOKUP(BUReporting[[#This Row],[Program]],'Program MW '!$A$34:$S$44,9,FALSE)</f>
        <v>0</v>
      </c>
    </row>
    <row r="108" spans="1:8" ht="15.5" thickTop="1" thickBot="1">
      <c r="A108" s="393">
        <v>2</v>
      </c>
      <c r="B108" s="391" t="s">
        <v>12</v>
      </c>
      <c r="C108" s="406" t="s">
        <v>13</v>
      </c>
      <c r="D108" s="391" t="s">
        <v>9</v>
      </c>
      <c r="E108" s="394">
        <v>9</v>
      </c>
      <c r="F108" s="403" t="s">
        <v>35</v>
      </c>
      <c r="G108"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8" s="404" t="e">
        <f>VLOOKUP(BUReporting[[#This Row],[Program]],'Program MW '!$A$34:$S$44,9,FALSE)</f>
        <v>#N/A</v>
      </c>
    </row>
    <row r="109" spans="1:8" ht="15.5" thickTop="1" thickBot="1">
      <c r="A109" s="393">
        <v>3</v>
      </c>
      <c r="B109" s="391" t="s">
        <v>14</v>
      </c>
      <c r="C109" s="406"/>
      <c r="D109" s="391" t="s">
        <v>9</v>
      </c>
      <c r="E109" s="394">
        <v>9</v>
      </c>
      <c r="F109" s="403" t="s">
        <v>35</v>
      </c>
      <c r="G109"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9" s="404" t="e">
        <f>VLOOKUP(BUReporting[[#This Row],[Program]],'Program MW '!$A$34:$S$44,9,FALSE)</f>
        <v>#N/A</v>
      </c>
    </row>
    <row r="110" spans="1:8" ht="15.5" thickTop="1" thickBot="1">
      <c r="A110" s="393">
        <v>4</v>
      </c>
      <c r="B110" s="391" t="s">
        <v>15</v>
      </c>
      <c r="C110" s="406" t="s">
        <v>16</v>
      </c>
      <c r="D110" s="391" t="s">
        <v>9</v>
      </c>
      <c r="E110" s="394">
        <v>9</v>
      </c>
      <c r="F110" s="403" t="s">
        <v>35</v>
      </c>
      <c r="G110"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10" s="404" t="e">
        <f>VLOOKUP(BUReporting[[#This Row],[Program]],'Program MW '!$A$34:$S$44,9,FALSE)</f>
        <v>#N/A</v>
      </c>
    </row>
    <row r="111" spans="1:8" ht="15.5" thickTop="1" thickBot="1">
      <c r="A111" s="393">
        <v>5</v>
      </c>
      <c r="B111" s="391" t="s">
        <v>17</v>
      </c>
      <c r="C111" s="406" t="s">
        <v>18</v>
      </c>
      <c r="D111" s="391" t="s">
        <v>19</v>
      </c>
      <c r="E111" s="394">
        <v>9</v>
      </c>
      <c r="F111" s="403" t="s">
        <v>35</v>
      </c>
      <c r="G111"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1" s="404">
        <f>VLOOKUP(BUReporting[[#This Row],[Program]],'Program MW '!$A$34:$S$44,9,FALSE)</f>
        <v>0</v>
      </c>
    </row>
    <row r="112" spans="1:8" ht="15.5" thickTop="1" thickBot="1">
      <c r="A112" s="393">
        <v>6</v>
      </c>
      <c r="B112" s="391" t="s">
        <v>20</v>
      </c>
      <c r="C112" s="406" t="s">
        <v>18</v>
      </c>
      <c r="D112" s="391" t="s">
        <v>9</v>
      </c>
      <c r="E112" s="394">
        <v>9</v>
      </c>
      <c r="F112" s="403" t="s">
        <v>35</v>
      </c>
      <c r="G112"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2" s="404">
        <f>VLOOKUP(BUReporting[[#This Row],[Program]],'Program MW '!$A$34:$S$44,9,FALSE)</f>
        <v>0</v>
      </c>
    </row>
    <row r="113" spans="1:8" ht="15.5" thickTop="1" thickBot="1">
      <c r="A113" s="393">
        <v>7</v>
      </c>
      <c r="B113" s="391" t="s">
        <v>21</v>
      </c>
      <c r="C113" s="406" t="s">
        <v>22</v>
      </c>
      <c r="D113" s="391" t="s">
        <v>19</v>
      </c>
      <c r="E113" s="394">
        <v>9</v>
      </c>
      <c r="F113" s="403" t="s">
        <v>35</v>
      </c>
      <c r="G113"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3" s="404">
        <f>VLOOKUP(BUReporting[[#This Row],[Program]],'Program MW '!$A$34:$S$44,9,FALSE)</f>
        <v>0</v>
      </c>
    </row>
    <row r="114" spans="1:8" ht="15.5" thickTop="1" thickBot="1">
      <c r="A114" s="393">
        <v>8</v>
      </c>
      <c r="B114" s="391" t="s">
        <v>23</v>
      </c>
      <c r="C114" s="406" t="s">
        <v>22</v>
      </c>
      <c r="D114" s="391" t="s">
        <v>9</v>
      </c>
      <c r="E114" s="394">
        <v>9</v>
      </c>
      <c r="F114" s="403" t="s">
        <v>35</v>
      </c>
      <c r="G114"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4" s="404">
        <f>VLOOKUP(BUReporting[[#This Row],[Program]],'Program MW '!$A$34:$S$44,9,FALSE)</f>
        <v>0</v>
      </c>
    </row>
    <row r="115" spans="1:8" ht="15.5" thickTop="1" thickBot="1">
      <c r="A115" s="393">
        <v>9</v>
      </c>
      <c r="B115" s="391" t="s">
        <v>24</v>
      </c>
      <c r="C115" s="406"/>
      <c r="D115" s="391" t="s">
        <v>9</v>
      </c>
      <c r="E115" s="394">
        <v>9</v>
      </c>
      <c r="F115" s="403" t="s">
        <v>35</v>
      </c>
      <c r="G115"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5" s="404">
        <f>VLOOKUP(BUReporting[[#This Row],[Program]],'Program MW '!$A$34:$S$44,9,FALSE)</f>
        <v>0</v>
      </c>
    </row>
    <row r="116" spans="1:8" ht="15.5" thickTop="1" thickBot="1">
      <c r="A116" s="393">
        <v>10</v>
      </c>
      <c r="B116" s="391" t="s">
        <v>25</v>
      </c>
      <c r="C116" s="406"/>
      <c r="D116" s="391" t="s">
        <v>9</v>
      </c>
      <c r="E116" s="394">
        <v>9</v>
      </c>
      <c r="F116" s="403" t="s">
        <v>35</v>
      </c>
      <c r="G116"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6" s="404">
        <f>VLOOKUP(BUReporting[[#This Row],[Program]],'Program MW '!$A$34:$S$44,9,FALSE)</f>
        <v>0</v>
      </c>
    </row>
    <row r="117" spans="1:8" ht="15.5" thickTop="1" thickBot="1">
      <c r="A117" s="393">
        <v>11</v>
      </c>
      <c r="B117" s="391" t="s">
        <v>26</v>
      </c>
      <c r="C117" s="406"/>
      <c r="D117" s="391" t="s">
        <v>9</v>
      </c>
      <c r="E117" s="394">
        <v>9</v>
      </c>
      <c r="F117" s="403" t="s">
        <v>35</v>
      </c>
      <c r="G117"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7" s="404">
        <f>VLOOKUP(BUReporting[[#This Row],[Program]],'Program MW '!$A$34:$S$44,9,FALSE)</f>
        <v>0</v>
      </c>
    </row>
    <row r="118" spans="1:8" ht="13.5" thickTop="1" thickBot="1">
      <c r="A118" s="393">
        <v>12</v>
      </c>
      <c r="B118" s="391" t="s">
        <v>27</v>
      </c>
      <c r="C118" s="390"/>
      <c r="D118" s="391" t="s">
        <v>19</v>
      </c>
      <c r="E118" s="394">
        <v>9</v>
      </c>
      <c r="F118" s="403" t="s">
        <v>35</v>
      </c>
      <c r="G118"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8" s="404">
        <f>VLOOKUP(BUReporting[[#This Row],[Program]],'Program MW '!$A$34:$S$44,9,FALSE)</f>
        <v>0</v>
      </c>
    </row>
    <row r="119" spans="1:8" ht="15.5" thickTop="1" thickBot="1">
      <c r="A119" s="405">
        <v>0</v>
      </c>
      <c r="B119" s="85" t="s">
        <v>8</v>
      </c>
      <c r="C119" s="406"/>
      <c r="D119" s="396" t="s">
        <v>9</v>
      </c>
      <c r="E119" s="401">
        <v>10</v>
      </c>
      <c r="F119" s="402" t="s">
        <v>36</v>
      </c>
      <c r="G119" s="392">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0</v>
      </c>
      <c r="H119" s="404">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v>
      </c>
    </row>
    <row r="120" spans="1:8" ht="15.5" thickTop="1" thickBot="1">
      <c r="A120" s="393">
        <v>1</v>
      </c>
      <c r="B120" s="391" t="s">
        <v>11</v>
      </c>
      <c r="C120" s="406"/>
      <c r="D120" s="391" t="s">
        <v>9</v>
      </c>
      <c r="E120" s="394">
        <v>10</v>
      </c>
      <c r="F120" s="403" t="s">
        <v>36</v>
      </c>
      <c r="G120"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0" s="404">
        <f>VLOOKUP(BUReporting[[#This Row],[Program]],'Program MW '!$A$34:$S$44,12,FALSE)</f>
        <v>0</v>
      </c>
    </row>
    <row r="121" spans="1:8" ht="15.5" thickTop="1" thickBot="1">
      <c r="A121" s="393">
        <v>2</v>
      </c>
      <c r="B121" s="391" t="s">
        <v>12</v>
      </c>
      <c r="C121" s="406" t="s">
        <v>13</v>
      </c>
      <c r="D121" s="391" t="s">
        <v>9</v>
      </c>
      <c r="E121" s="394">
        <v>10</v>
      </c>
      <c r="F121" s="403" t="s">
        <v>36</v>
      </c>
      <c r="G121"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1" s="404" t="e">
        <f>VLOOKUP(BUReporting[[#This Row],[Program]],'Program MW '!$A$34:$S$44,12,FALSE)</f>
        <v>#N/A</v>
      </c>
    </row>
    <row r="122" spans="1:8" ht="15.5" thickTop="1" thickBot="1">
      <c r="A122" s="393">
        <v>3</v>
      </c>
      <c r="B122" s="391" t="s">
        <v>14</v>
      </c>
      <c r="C122" s="406"/>
      <c r="D122" s="391" t="s">
        <v>9</v>
      </c>
      <c r="E122" s="394">
        <v>10</v>
      </c>
      <c r="F122" s="403" t="s">
        <v>36</v>
      </c>
      <c r="G122"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2" s="404" t="e">
        <f>VLOOKUP(BUReporting[[#This Row],[Program]],'Program MW '!$A$34:$S$44,12,FALSE)</f>
        <v>#N/A</v>
      </c>
    </row>
    <row r="123" spans="1:8" ht="15.5" thickTop="1" thickBot="1">
      <c r="A123" s="393">
        <v>4</v>
      </c>
      <c r="B123" s="391" t="s">
        <v>15</v>
      </c>
      <c r="C123" s="406" t="s">
        <v>16</v>
      </c>
      <c r="D123" s="391" t="s">
        <v>9</v>
      </c>
      <c r="E123" s="394">
        <v>10</v>
      </c>
      <c r="F123" s="403" t="s">
        <v>36</v>
      </c>
      <c r="G123"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3" s="404" t="e">
        <f>VLOOKUP(BUReporting[[#This Row],[Program]],'Program MW '!$A$34:$S$44,12,FALSE)</f>
        <v>#N/A</v>
      </c>
    </row>
    <row r="124" spans="1:8" ht="15.5" thickTop="1" thickBot="1">
      <c r="A124" s="393">
        <v>5</v>
      </c>
      <c r="B124" s="391" t="s">
        <v>17</v>
      </c>
      <c r="C124" s="406" t="s">
        <v>18</v>
      </c>
      <c r="D124" s="391" t="s">
        <v>19</v>
      </c>
      <c r="E124" s="394">
        <v>10</v>
      </c>
      <c r="F124" s="403" t="s">
        <v>36</v>
      </c>
      <c r="G124"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4" s="404">
        <f>VLOOKUP(BUReporting[[#This Row],[Program]],'Program MW '!$A$34:$S$44,12,FALSE)</f>
        <v>0</v>
      </c>
    </row>
    <row r="125" spans="1:8" ht="15.5" thickTop="1" thickBot="1">
      <c r="A125" s="393">
        <v>6</v>
      </c>
      <c r="B125" s="391" t="s">
        <v>20</v>
      </c>
      <c r="C125" s="406" t="s">
        <v>18</v>
      </c>
      <c r="D125" s="391" t="s">
        <v>9</v>
      </c>
      <c r="E125" s="394">
        <v>10</v>
      </c>
      <c r="F125" s="403" t="s">
        <v>36</v>
      </c>
      <c r="G125"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5" s="404">
        <f>VLOOKUP(BUReporting[[#This Row],[Program]],'Program MW '!$A$34:$S$44,12,FALSE)</f>
        <v>0</v>
      </c>
    </row>
    <row r="126" spans="1:8" ht="15.5" thickTop="1" thickBot="1">
      <c r="A126" s="393">
        <v>7</v>
      </c>
      <c r="B126" s="391" t="s">
        <v>21</v>
      </c>
      <c r="C126" s="406" t="s">
        <v>22</v>
      </c>
      <c r="D126" s="391" t="s">
        <v>19</v>
      </c>
      <c r="E126" s="394">
        <v>10</v>
      </c>
      <c r="F126" s="403" t="s">
        <v>36</v>
      </c>
      <c r="G126"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6" s="404">
        <f>VLOOKUP(BUReporting[[#This Row],[Program]],'Program MW '!$A$34:$S$44,12,FALSE)</f>
        <v>0</v>
      </c>
    </row>
    <row r="127" spans="1:8" ht="15.5" thickTop="1" thickBot="1">
      <c r="A127" s="393">
        <v>8</v>
      </c>
      <c r="B127" s="391" t="s">
        <v>23</v>
      </c>
      <c r="C127" s="406" t="s">
        <v>22</v>
      </c>
      <c r="D127" s="391" t="s">
        <v>9</v>
      </c>
      <c r="E127" s="394">
        <v>10</v>
      </c>
      <c r="F127" s="403" t="s">
        <v>36</v>
      </c>
      <c r="G127"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7" s="404">
        <f>VLOOKUP(BUReporting[[#This Row],[Program]],'Program MW '!$A$34:$S$44,12,FALSE)</f>
        <v>0</v>
      </c>
    </row>
    <row r="128" spans="1:8" ht="15.5" thickTop="1" thickBot="1">
      <c r="A128" s="393">
        <v>9</v>
      </c>
      <c r="B128" s="391" t="s">
        <v>24</v>
      </c>
      <c r="C128" s="406"/>
      <c r="D128" s="391" t="s">
        <v>9</v>
      </c>
      <c r="E128" s="394">
        <v>10</v>
      </c>
      <c r="F128" s="403" t="s">
        <v>36</v>
      </c>
      <c r="G128"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8" s="404">
        <f>VLOOKUP(BUReporting[[#This Row],[Program]],'Program MW '!$A$34:$S$44,12,FALSE)</f>
        <v>0</v>
      </c>
    </row>
    <row r="129" spans="1:8" ht="15.5" thickTop="1" thickBot="1">
      <c r="A129" s="393">
        <v>10</v>
      </c>
      <c r="B129" s="391" t="s">
        <v>25</v>
      </c>
      <c r="C129" s="406"/>
      <c r="D129" s="391" t="s">
        <v>9</v>
      </c>
      <c r="E129" s="394">
        <v>10</v>
      </c>
      <c r="F129" s="403" t="s">
        <v>36</v>
      </c>
      <c r="G129"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9" s="404">
        <f>VLOOKUP(BUReporting[[#This Row],[Program]],'Program MW '!$A$34:$S$44,12,FALSE)</f>
        <v>0</v>
      </c>
    </row>
    <row r="130" spans="1:8" ht="15.5" thickTop="1" thickBot="1">
      <c r="A130" s="393">
        <v>11</v>
      </c>
      <c r="B130" s="391" t="s">
        <v>26</v>
      </c>
      <c r="C130" s="406"/>
      <c r="D130" s="391" t="s">
        <v>9</v>
      </c>
      <c r="E130" s="394">
        <v>10</v>
      </c>
      <c r="F130" s="403" t="s">
        <v>36</v>
      </c>
      <c r="G130"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0" s="404">
        <f>VLOOKUP(BUReporting[[#This Row],[Program]],'Program MW '!$A$34:$S$44,12,FALSE)</f>
        <v>0</v>
      </c>
    </row>
    <row r="131" spans="1:8" ht="13.5" thickTop="1" thickBot="1">
      <c r="A131" s="393">
        <v>12</v>
      </c>
      <c r="B131" s="391" t="s">
        <v>27</v>
      </c>
      <c r="C131" s="390"/>
      <c r="D131" s="391" t="s">
        <v>19</v>
      </c>
      <c r="E131" s="394">
        <v>10</v>
      </c>
      <c r="F131" s="403" t="s">
        <v>36</v>
      </c>
      <c r="G131"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1" s="404">
        <f>VLOOKUP(BUReporting[[#This Row],[Program]],'Program MW '!$A$34:$S$44,12,FALSE)</f>
        <v>0</v>
      </c>
    </row>
    <row r="132" spans="1:8" ht="15.5" thickTop="1" thickBot="1">
      <c r="A132" s="405">
        <v>0</v>
      </c>
      <c r="B132" s="85" t="s">
        <v>8</v>
      </c>
      <c r="C132" s="406"/>
      <c r="D132" s="396" t="s">
        <v>9</v>
      </c>
      <c r="E132" s="401">
        <v>11</v>
      </c>
      <c r="F132" s="402" t="s">
        <v>37</v>
      </c>
      <c r="G132" s="392">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132" s="404">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133" spans="1:8" ht="15.5" thickTop="1" thickBot="1">
      <c r="A133" s="393">
        <v>1</v>
      </c>
      <c r="B133" s="391" t="s">
        <v>11</v>
      </c>
      <c r="C133" s="406"/>
      <c r="D133" s="391" t="s">
        <v>9</v>
      </c>
      <c r="E133" s="394">
        <v>11</v>
      </c>
      <c r="F133" s="403" t="s">
        <v>37</v>
      </c>
      <c r="G133"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3" s="404">
        <f>VLOOKUP(BUReporting[[#This Row],[Program]],'Program MW '!$A$34:$S$44,15,FALSE)</f>
        <v>0</v>
      </c>
    </row>
    <row r="134" spans="1:8" ht="15.5" thickTop="1" thickBot="1">
      <c r="A134" s="393">
        <v>2</v>
      </c>
      <c r="B134" s="391" t="s">
        <v>12</v>
      </c>
      <c r="C134" s="406" t="s">
        <v>13</v>
      </c>
      <c r="D134" s="391" t="s">
        <v>9</v>
      </c>
      <c r="E134" s="394">
        <v>11</v>
      </c>
      <c r="F134" s="403" t="s">
        <v>37</v>
      </c>
      <c r="G134"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4" s="404" t="e">
        <f>VLOOKUP(BUReporting[[#This Row],[Program]],'Program MW '!$A$34:$S$44,15,FALSE)</f>
        <v>#N/A</v>
      </c>
    </row>
    <row r="135" spans="1:8" ht="15.5" thickTop="1" thickBot="1">
      <c r="A135" s="393">
        <v>3</v>
      </c>
      <c r="B135" s="391" t="s">
        <v>14</v>
      </c>
      <c r="C135" s="406"/>
      <c r="D135" s="391" t="s">
        <v>9</v>
      </c>
      <c r="E135" s="394">
        <v>11</v>
      </c>
      <c r="F135" s="403" t="s">
        <v>37</v>
      </c>
      <c r="G135"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5" s="404" t="e">
        <f>VLOOKUP(BUReporting[[#This Row],[Program]],'Program MW '!$A$34:$S$44,15,FALSE)</f>
        <v>#N/A</v>
      </c>
    </row>
    <row r="136" spans="1:8" ht="15.5" thickTop="1" thickBot="1">
      <c r="A136" s="393">
        <v>4</v>
      </c>
      <c r="B136" s="391" t="s">
        <v>15</v>
      </c>
      <c r="C136" s="406" t="s">
        <v>16</v>
      </c>
      <c r="D136" s="391" t="s">
        <v>9</v>
      </c>
      <c r="E136" s="394">
        <v>11</v>
      </c>
      <c r="F136" s="403" t="s">
        <v>37</v>
      </c>
      <c r="G136"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6" s="404" t="e">
        <f>VLOOKUP(BUReporting[[#This Row],[Program]],'Program MW '!$A$34:$S$44,15,FALSE)</f>
        <v>#N/A</v>
      </c>
    </row>
    <row r="137" spans="1:8" ht="15.5" thickTop="1" thickBot="1">
      <c r="A137" s="393">
        <v>5</v>
      </c>
      <c r="B137" s="391" t="s">
        <v>17</v>
      </c>
      <c r="C137" s="406" t="s">
        <v>18</v>
      </c>
      <c r="D137" s="391" t="s">
        <v>19</v>
      </c>
      <c r="E137" s="394">
        <v>11</v>
      </c>
      <c r="F137" s="403" t="s">
        <v>37</v>
      </c>
      <c r="G137"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7" s="404">
        <f>VLOOKUP(BUReporting[[#This Row],[Program]],'Program MW '!$A$34:$S$44,15,FALSE)</f>
        <v>0</v>
      </c>
    </row>
    <row r="138" spans="1:8" ht="15.5" thickTop="1" thickBot="1">
      <c r="A138" s="393">
        <v>6</v>
      </c>
      <c r="B138" s="391" t="s">
        <v>20</v>
      </c>
      <c r="C138" s="406" t="s">
        <v>18</v>
      </c>
      <c r="D138" s="391" t="s">
        <v>9</v>
      </c>
      <c r="E138" s="394">
        <v>11</v>
      </c>
      <c r="F138" s="403" t="s">
        <v>37</v>
      </c>
      <c r="G138"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8" s="404">
        <f>VLOOKUP(BUReporting[[#This Row],[Program]],'Program MW '!$A$34:$S$44,15,FALSE)</f>
        <v>0</v>
      </c>
    </row>
    <row r="139" spans="1:8" ht="15.5" thickTop="1" thickBot="1">
      <c r="A139" s="393">
        <v>7</v>
      </c>
      <c r="B139" s="391" t="s">
        <v>21</v>
      </c>
      <c r="C139" s="406" t="s">
        <v>22</v>
      </c>
      <c r="D139" s="391" t="s">
        <v>19</v>
      </c>
      <c r="E139" s="394">
        <v>11</v>
      </c>
      <c r="F139" s="403" t="s">
        <v>37</v>
      </c>
      <c r="G139"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9" s="404">
        <f>VLOOKUP(BUReporting[[#This Row],[Program]],'Program MW '!$A$34:$S$44,15,FALSE)</f>
        <v>0</v>
      </c>
    </row>
    <row r="140" spans="1:8" ht="15.5" thickTop="1" thickBot="1">
      <c r="A140" s="393">
        <v>8</v>
      </c>
      <c r="B140" s="391" t="s">
        <v>23</v>
      </c>
      <c r="C140" s="406" t="s">
        <v>22</v>
      </c>
      <c r="D140" s="391" t="s">
        <v>9</v>
      </c>
      <c r="E140" s="394">
        <v>11</v>
      </c>
      <c r="F140" s="403" t="s">
        <v>37</v>
      </c>
      <c r="G140"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0" s="404">
        <f>VLOOKUP(BUReporting[[#This Row],[Program]],'Program MW '!$A$34:$S$44,15,FALSE)</f>
        <v>0</v>
      </c>
    </row>
    <row r="141" spans="1:8" ht="15.5" thickTop="1" thickBot="1">
      <c r="A141" s="393">
        <v>9</v>
      </c>
      <c r="B141" s="391" t="s">
        <v>24</v>
      </c>
      <c r="C141" s="406"/>
      <c r="D141" s="391" t="s">
        <v>9</v>
      </c>
      <c r="E141" s="394">
        <v>11</v>
      </c>
      <c r="F141" s="403" t="s">
        <v>37</v>
      </c>
      <c r="G141"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1" s="404">
        <f>VLOOKUP(BUReporting[[#This Row],[Program]],'Program MW '!$A$34:$S$44,15,FALSE)</f>
        <v>0</v>
      </c>
    </row>
    <row r="142" spans="1:8" ht="15.5" thickTop="1" thickBot="1">
      <c r="A142" s="393">
        <v>10</v>
      </c>
      <c r="B142" s="391" t="s">
        <v>25</v>
      </c>
      <c r="C142" s="406"/>
      <c r="D142" s="391" t="s">
        <v>9</v>
      </c>
      <c r="E142" s="394">
        <v>11</v>
      </c>
      <c r="F142" s="403" t="s">
        <v>37</v>
      </c>
      <c r="G142"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2" s="404">
        <f>VLOOKUP(BUReporting[[#This Row],[Program]],'Program MW '!$A$34:$S$44,15,FALSE)</f>
        <v>0</v>
      </c>
    </row>
    <row r="143" spans="1:8" ht="15.5" thickTop="1" thickBot="1">
      <c r="A143" s="393">
        <v>11</v>
      </c>
      <c r="B143" s="391" t="s">
        <v>26</v>
      </c>
      <c r="C143" s="406"/>
      <c r="D143" s="391" t="s">
        <v>9</v>
      </c>
      <c r="E143" s="394">
        <v>11</v>
      </c>
      <c r="F143" s="403" t="s">
        <v>37</v>
      </c>
      <c r="G143"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3" s="404">
        <f>VLOOKUP(BUReporting[[#This Row],[Program]],'Program MW '!$A$34:$S$44,15,FALSE)</f>
        <v>0</v>
      </c>
    </row>
    <row r="144" spans="1:8" ht="13.5" thickTop="1" thickBot="1">
      <c r="A144" s="393">
        <v>12</v>
      </c>
      <c r="B144" s="391" t="s">
        <v>27</v>
      </c>
      <c r="C144" s="390"/>
      <c r="D144" s="391" t="s">
        <v>19</v>
      </c>
      <c r="E144" s="394">
        <v>11</v>
      </c>
      <c r="F144" s="403" t="s">
        <v>37</v>
      </c>
      <c r="G144"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4" s="404">
        <f>VLOOKUP(BUReporting[[#This Row],[Program]],'Program MW '!$A$34:$S$44,15,FALSE)</f>
        <v>0</v>
      </c>
    </row>
    <row r="145" spans="1:8" ht="15.5" thickTop="1" thickBot="1">
      <c r="A145" s="405">
        <v>0</v>
      </c>
      <c r="B145" s="85" t="s">
        <v>8</v>
      </c>
      <c r="C145" s="406"/>
      <c r="D145" s="396" t="s">
        <v>9</v>
      </c>
      <c r="E145" s="401">
        <v>12</v>
      </c>
      <c r="F145" s="402" t="s">
        <v>38</v>
      </c>
      <c r="G145" s="392">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145" s="404">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146" spans="1:8" ht="15.5" thickTop="1" thickBot="1">
      <c r="A146" s="393">
        <v>1</v>
      </c>
      <c r="B146" s="391" t="s">
        <v>11</v>
      </c>
      <c r="C146" s="406"/>
      <c r="D146" s="391" t="s">
        <v>9</v>
      </c>
      <c r="E146" s="394">
        <v>12</v>
      </c>
      <c r="F146" s="403" t="s">
        <v>38</v>
      </c>
      <c r="G146"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46" s="404">
        <f>VLOOKUP(BUReporting[[#This Row],[Program]],'Program MW '!$A$34:$S$44,18,FALSE)</f>
        <v>0</v>
      </c>
    </row>
    <row r="147" spans="1:8" ht="15.5" thickTop="1" thickBot="1">
      <c r="A147" s="393">
        <v>2</v>
      </c>
      <c r="B147" s="391" t="s">
        <v>12</v>
      </c>
      <c r="C147" s="406" t="s">
        <v>13</v>
      </c>
      <c r="D147" s="391" t="s">
        <v>9</v>
      </c>
      <c r="E147" s="394">
        <v>12</v>
      </c>
      <c r="F147" s="403" t="s">
        <v>38</v>
      </c>
      <c r="G147"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7" s="404" t="e">
        <f>VLOOKUP(BUReporting[[#This Row],[Program]],'Program MW '!$A$34:$S$44,18,FALSE)</f>
        <v>#N/A</v>
      </c>
    </row>
    <row r="148" spans="1:8" ht="15.5" thickTop="1" thickBot="1">
      <c r="A148" s="393">
        <v>3</v>
      </c>
      <c r="B148" s="391" t="s">
        <v>14</v>
      </c>
      <c r="C148" s="406"/>
      <c r="D148" s="391" t="s">
        <v>9</v>
      </c>
      <c r="E148" s="394">
        <v>12</v>
      </c>
      <c r="F148" s="403" t="s">
        <v>38</v>
      </c>
      <c r="G148"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8" s="404" t="e">
        <f>VLOOKUP(BUReporting[[#This Row],[Program]],'Program MW '!$A$34:$S$44,18,FALSE)</f>
        <v>#N/A</v>
      </c>
    </row>
    <row r="149" spans="1:8" ht="15.5" thickTop="1" thickBot="1">
      <c r="A149" s="393">
        <v>4</v>
      </c>
      <c r="B149" s="391" t="s">
        <v>15</v>
      </c>
      <c r="C149" s="406" t="s">
        <v>16</v>
      </c>
      <c r="D149" s="391" t="s">
        <v>9</v>
      </c>
      <c r="E149" s="394">
        <v>12</v>
      </c>
      <c r="F149" s="403" t="s">
        <v>38</v>
      </c>
      <c r="G149"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9" s="404" t="e">
        <f>VLOOKUP(BUReporting[[#This Row],[Program]],'Program MW '!$A$34:$S$44,18,FALSE)</f>
        <v>#N/A</v>
      </c>
    </row>
    <row r="150" spans="1:8" ht="15.5" thickTop="1" thickBot="1">
      <c r="A150" s="393">
        <v>5</v>
      </c>
      <c r="B150" s="391" t="s">
        <v>17</v>
      </c>
      <c r="C150" s="406" t="s">
        <v>18</v>
      </c>
      <c r="D150" s="391" t="s">
        <v>19</v>
      </c>
      <c r="E150" s="394">
        <v>12</v>
      </c>
      <c r="F150" s="403" t="s">
        <v>38</v>
      </c>
      <c r="G150"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0" s="404">
        <f>VLOOKUP(BUReporting[[#This Row],[Program]],'Program MW '!$A$34:$S$44,18,FALSE)</f>
        <v>0</v>
      </c>
    </row>
    <row r="151" spans="1:8" ht="15.5" thickTop="1" thickBot="1">
      <c r="A151" s="393">
        <v>6</v>
      </c>
      <c r="B151" s="391" t="s">
        <v>20</v>
      </c>
      <c r="C151" s="406" t="s">
        <v>18</v>
      </c>
      <c r="D151" s="391" t="s">
        <v>9</v>
      </c>
      <c r="E151" s="394">
        <v>12</v>
      </c>
      <c r="F151" s="403" t="s">
        <v>38</v>
      </c>
      <c r="G151"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1" s="404">
        <f>VLOOKUP(BUReporting[[#This Row],[Program]],'Program MW '!$A$34:$S$44,18,FALSE)</f>
        <v>0</v>
      </c>
    </row>
    <row r="152" spans="1:8" ht="15.5" thickTop="1" thickBot="1">
      <c r="A152" s="393">
        <v>7</v>
      </c>
      <c r="B152" s="391" t="s">
        <v>21</v>
      </c>
      <c r="C152" s="406" t="s">
        <v>22</v>
      </c>
      <c r="D152" s="391" t="s">
        <v>19</v>
      </c>
      <c r="E152" s="394">
        <v>12</v>
      </c>
      <c r="F152" s="403" t="s">
        <v>38</v>
      </c>
      <c r="G152"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2" s="404">
        <f>VLOOKUP(BUReporting[[#This Row],[Program]],'Program MW '!$A$34:$S$44,18,FALSE)</f>
        <v>0</v>
      </c>
    </row>
    <row r="153" spans="1:8" ht="15.5" thickTop="1" thickBot="1">
      <c r="A153" s="393">
        <v>8</v>
      </c>
      <c r="B153" s="391" t="s">
        <v>23</v>
      </c>
      <c r="C153" s="406" t="s">
        <v>22</v>
      </c>
      <c r="D153" s="391" t="s">
        <v>9</v>
      </c>
      <c r="E153" s="394">
        <v>12</v>
      </c>
      <c r="F153" s="403" t="s">
        <v>38</v>
      </c>
      <c r="G153"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3" s="404">
        <f>VLOOKUP(BUReporting[[#This Row],[Program]],'Program MW '!$A$34:$S$44,18,FALSE)</f>
        <v>0</v>
      </c>
    </row>
    <row r="154" spans="1:8" ht="15.5" thickTop="1" thickBot="1">
      <c r="A154" s="393">
        <v>9</v>
      </c>
      <c r="B154" s="391" t="s">
        <v>24</v>
      </c>
      <c r="C154" s="406"/>
      <c r="D154" s="391" t="s">
        <v>9</v>
      </c>
      <c r="E154" s="394">
        <v>12</v>
      </c>
      <c r="F154" s="403" t="s">
        <v>38</v>
      </c>
      <c r="G154"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4" s="404">
        <f>VLOOKUP(BUReporting[[#This Row],[Program]],'Program MW '!$A$34:$S$44,18,FALSE)</f>
        <v>0</v>
      </c>
    </row>
    <row r="155" spans="1:8" ht="15.5" thickTop="1" thickBot="1">
      <c r="A155" s="393">
        <v>10</v>
      </c>
      <c r="B155" s="391" t="s">
        <v>25</v>
      </c>
      <c r="C155" s="406"/>
      <c r="D155" s="391" t="s">
        <v>9</v>
      </c>
      <c r="E155" s="394">
        <v>12</v>
      </c>
      <c r="F155" s="403" t="s">
        <v>38</v>
      </c>
      <c r="G155"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5" s="404">
        <f>VLOOKUP(BUReporting[[#This Row],[Program]],'Program MW '!$A$34:$S$44,18,FALSE)</f>
        <v>0</v>
      </c>
    </row>
    <row r="156" spans="1:8" ht="15.5" thickTop="1" thickBot="1">
      <c r="A156" s="393">
        <v>11</v>
      </c>
      <c r="B156" s="391" t="s">
        <v>26</v>
      </c>
      <c r="C156" s="406"/>
      <c r="D156" s="391" t="s">
        <v>9</v>
      </c>
      <c r="E156" s="394">
        <v>12</v>
      </c>
      <c r="F156" s="403" t="s">
        <v>38</v>
      </c>
      <c r="G156"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6" s="404">
        <f>VLOOKUP(BUReporting[[#This Row],[Program]],'Program MW '!$A$34:$S$44,18,FALSE)</f>
        <v>0</v>
      </c>
    </row>
    <row r="157" spans="1:8" ht="13" thickTop="1">
      <c r="A157" s="393">
        <v>12</v>
      </c>
      <c r="B157" s="391" t="s">
        <v>27</v>
      </c>
      <c r="C157" s="390"/>
      <c r="D157" s="391" t="s">
        <v>19</v>
      </c>
      <c r="E157" s="394">
        <v>12</v>
      </c>
      <c r="F157" s="403" t="s">
        <v>38</v>
      </c>
      <c r="G157"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7" s="404">
        <f>VLOOKUP(BUReporting[[#This Row],[Program]],'Program MW '!$A$34:$S$44,18,FALSE)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25"/>
  <sheetViews>
    <sheetView zoomScaleNormal="100" zoomScaleSheetLayoutView="90" workbookViewId="0">
      <selection activeCell="A28" sqref="A28"/>
    </sheetView>
  </sheetViews>
  <sheetFormatPr defaultColWidth="9.26953125" defaultRowHeight="14.25" customHeight="1"/>
  <cols>
    <col min="1" max="1" width="56.7265625" style="356" customWidth="1"/>
    <col min="2" max="2" width="30" style="243" customWidth="1"/>
    <col min="3" max="3" width="15.7265625" style="358" customWidth="1"/>
    <col min="4" max="4" width="27" style="356" bestFit="1" customWidth="1"/>
    <col min="5" max="5" width="15.7265625" style="356" customWidth="1"/>
    <col min="6" max="6" width="22" style="356" customWidth="1"/>
    <col min="7" max="7" width="37" style="356" customWidth="1"/>
    <col min="8" max="16384" width="9.26953125" style="357"/>
  </cols>
  <sheetData>
    <row r="2" spans="1:14" ht="13">
      <c r="A2" s="495"/>
      <c r="C2" s="244" t="s">
        <v>39</v>
      </c>
      <c r="D2" s="495"/>
      <c r="E2" s="495"/>
      <c r="F2" s="495"/>
      <c r="G2" s="495"/>
      <c r="H2" s="496"/>
      <c r="I2" s="496"/>
      <c r="J2" s="496"/>
      <c r="K2" s="496"/>
      <c r="L2" s="496"/>
      <c r="M2" s="496"/>
      <c r="N2" s="496"/>
    </row>
    <row r="3" spans="1:14" ht="13">
      <c r="A3" s="495"/>
      <c r="C3" s="244" t="s">
        <v>183</v>
      </c>
      <c r="D3" s="495"/>
      <c r="E3" s="495"/>
      <c r="F3" s="495"/>
      <c r="G3" s="495"/>
      <c r="H3" s="496"/>
      <c r="I3" s="496"/>
      <c r="J3" s="496"/>
      <c r="K3" s="496"/>
      <c r="L3" s="496"/>
      <c r="M3" s="496"/>
      <c r="N3" s="496"/>
    </row>
    <row r="4" spans="1:14" ht="13">
      <c r="A4" s="495"/>
      <c r="C4" s="244" t="str">
        <f>'Program MW '!H3</f>
        <v>April 2021</v>
      </c>
      <c r="D4" s="495"/>
      <c r="E4" s="495"/>
      <c r="F4" s="495"/>
      <c r="G4" s="495"/>
      <c r="H4" s="496"/>
      <c r="I4" s="496"/>
      <c r="J4" s="496"/>
      <c r="K4" s="496"/>
      <c r="L4" s="496"/>
      <c r="M4" s="496"/>
      <c r="N4" s="496"/>
    </row>
    <row r="5" spans="1:14" ht="13">
      <c r="A5" s="495"/>
      <c r="C5" s="244"/>
      <c r="D5" s="495"/>
      <c r="E5" s="495"/>
      <c r="F5" s="495"/>
      <c r="G5" s="495"/>
      <c r="H5" s="496"/>
      <c r="I5" s="496"/>
      <c r="J5" s="496"/>
      <c r="K5" s="496"/>
      <c r="L5" s="496"/>
      <c r="M5" s="496"/>
      <c r="N5" s="496"/>
    </row>
    <row r="7" spans="1:14" ht="15.5">
      <c r="A7" s="702" t="s">
        <v>184</v>
      </c>
      <c r="B7" s="703"/>
      <c r="C7" s="703"/>
      <c r="D7" s="703"/>
      <c r="E7" s="703"/>
      <c r="F7" s="703"/>
      <c r="G7" s="704"/>
      <c r="H7" s="496"/>
      <c r="I7" s="496"/>
      <c r="J7" s="496"/>
      <c r="K7" s="496"/>
      <c r="L7" s="496"/>
      <c r="M7" s="496"/>
      <c r="N7" s="496"/>
    </row>
    <row r="8" spans="1:14" ht="28">
      <c r="A8" s="497" t="s">
        <v>177</v>
      </c>
      <c r="B8" s="497" t="s">
        <v>185</v>
      </c>
      <c r="C8" s="498" t="s">
        <v>180</v>
      </c>
      <c r="D8" s="497" t="s">
        <v>186</v>
      </c>
      <c r="E8" s="499" t="s">
        <v>187</v>
      </c>
      <c r="F8" s="499" t="s">
        <v>188</v>
      </c>
      <c r="G8" s="499" t="s">
        <v>189</v>
      </c>
      <c r="H8" s="496"/>
      <c r="I8" s="496"/>
      <c r="J8" s="496"/>
      <c r="K8" s="496"/>
      <c r="L8" s="496"/>
      <c r="M8" s="496"/>
      <c r="N8" s="496"/>
    </row>
    <row r="9" spans="1:14" ht="14.25" customHeight="1">
      <c r="A9" s="526" t="s">
        <v>56</v>
      </c>
      <c r="B9" s="527" t="s">
        <v>56</v>
      </c>
      <c r="C9" s="521" t="s">
        <v>56</v>
      </c>
      <c r="D9" s="522" t="s">
        <v>56</v>
      </c>
      <c r="E9" s="523" t="s">
        <v>56</v>
      </c>
      <c r="F9" s="524" t="s">
        <v>56</v>
      </c>
      <c r="G9" s="525" t="s">
        <v>56</v>
      </c>
      <c r="H9" s="496"/>
      <c r="I9" s="496"/>
      <c r="J9" s="496"/>
      <c r="K9" s="496"/>
      <c r="L9" s="496"/>
      <c r="M9" s="496"/>
      <c r="N9" s="496"/>
    </row>
    <row r="10" spans="1:14" ht="14.25" customHeight="1">
      <c r="A10" s="500"/>
      <c r="B10" s="501"/>
      <c r="C10" s="503"/>
      <c r="D10" s="504"/>
      <c r="E10" s="505"/>
      <c r="F10" s="506"/>
      <c r="G10" s="502"/>
      <c r="H10" s="496"/>
      <c r="I10" s="496"/>
      <c r="J10" s="496"/>
      <c r="K10" s="496"/>
      <c r="L10" s="496"/>
      <c r="M10" s="496"/>
      <c r="N10" s="496"/>
    </row>
    <row r="11" spans="1:14" ht="14.25" customHeight="1">
      <c r="A11" s="500"/>
      <c r="B11" s="502"/>
      <c r="C11" s="457"/>
      <c r="D11" s="504"/>
      <c r="E11" s="505"/>
      <c r="F11" s="456"/>
      <c r="G11" s="502"/>
    </row>
    <row r="12" spans="1:14" ht="14.25" customHeight="1">
      <c r="A12" s="500"/>
      <c r="B12" s="502"/>
      <c r="C12" s="457"/>
      <c r="D12" s="504"/>
      <c r="E12" s="505"/>
      <c r="F12" s="456"/>
      <c r="G12" s="502"/>
    </row>
    <row r="13" spans="1:14" ht="14.25" customHeight="1">
      <c r="A13" s="500"/>
      <c r="B13" s="502"/>
      <c r="C13" s="457"/>
      <c r="D13" s="504"/>
      <c r="E13" s="505"/>
      <c r="F13" s="456"/>
      <c r="G13" s="502"/>
    </row>
    <row r="14" spans="1:14" ht="14.25" customHeight="1">
      <c r="A14" s="500"/>
      <c r="B14" s="502"/>
      <c r="C14" s="457"/>
      <c r="D14" s="504"/>
      <c r="E14" s="505"/>
      <c r="F14" s="456"/>
      <c r="G14" s="502"/>
    </row>
    <row r="15" spans="1:14" ht="14.25" customHeight="1">
      <c r="A15" s="500"/>
      <c r="B15" s="502"/>
      <c r="C15" s="457"/>
      <c r="D15" s="504"/>
      <c r="E15" s="505"/>
      <c r="F15" s="456"/>
      <c r="G15" s="502"/>
    </row>
    <row r="16" spans="1:14" ht="14.25" customHeight="1">
      <c r="A16"/>
      <c r="B16" s="507"/>
      <c r="C16" s="508"/>
      <c r="D16" s="495"/>
      <c r="E16" s="509"/>
      <c r="F16" s="510"/>
      <c r="G16" s="507"/>
    </row>
    <row r="17" spans="1:7" ht="14.25" customHeight="1">
      <c r="A17"/>
      <c r="B17" s="507"/>
      <c r="C17" s="508"/>
      <c r="D17" s="495"/>
      <c r="E17" s="509"/>
      <c r="F17" s="510"/>
      <c r="G17" s="507"/>
    </row>
    <row r="18" spans="1:7" ht="14.25" customHeight="1">
      <c r="A18"/>
      <c r="B18" s="507"/>
      <c r="C18" s="508"/>
      <c r="D18" s="495"/>
      <c r="E18" s="509"/>
      <c r="F18" s="510"/>
      <c r="G18" s="507"/>
    </row>
    <row r="19" spans="1:7" ht="14.25" customHeight="1">
      <c r="A19" s="511"/>
      <c r="C19" s="512"/>
      <c r="D19" s="495"/>
      <c r="E19" s="495"/>
      <c r="F19" s="495"/>
      <c r="G19" s="495"/>
    </row>
    <row r="20" spans="1:7" ht="14.25" customHeight="1">
      <c r="A20" s="513"/>
      <c r="C20" s="512"/>
      <c r="D20" s="495"/>
      <c r="E20" s="495"/>
      <c r="F20" s="495"/>
      <c r="G20" s="495"/>
    </row>
    <row r="21" spans="1:7" ht="14.25" customHeight="1">
      <c r="A21" s="513"/>
      <c r="C21" s="512"/>
      <c r="D21" s="495"/>
      <c r="E21" s="495"/>
      <c r="F21" s="495"/>
      <c r="G21" s="495"/>
    </row>
    <row r="22" spans="1:7" ht="14.25" customHeight="1">
      <c r="A22" s="514" t="s">
        <v>63</v>
      </c>
      <c r="C22" s="512"/>
      <c r="D22" s="495"/>
      <c r="E22" s="495"/>
      <c r="F22" s="495"/>
      <c r="G22" s="495"/>
    </row>
    <row r="23" spans="1:7" ht="14.25" customHeight="1">
      <c r="A23" s="515"/>
      <c r="C23" s="512"/>
      <c r="D23" s="495"/>
      <c r="E23" s="495"/>
      <c r="F23" s="495"/>
      <c r="G23" s="495"/>
    </row>
    <row r="24" spans="1:7" ht="14.25" customHeight="1">
      <c r="A24" s="441" t="s">
        <v>64</v>
      </c>
      <c r="C24" s="512"/>
      <c r="D24" s="495"/>
      <c r="E24" s="495"/>
      <c r="F24" s="495"/>
      <c r="G24" s="495"/>
    </row>
    <row r="25" spans="1:7" ht="14.25" customHeight="1">
      <c r="A25" s="339"/>
      <c r="C25" s="512"/>
      <c r="D25" s="495"/>
      <c r="E25" s="495"/>
      <c r="F25" s="495"/>
      <c r="G25" s="495"/>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1"/>
  <sheetViews>
    <sheetView zoomScale="120" zoomScaleNormal="120" zoomScaleSheetLayoutView="75" workbookViewId="0">
      <pane xSplit="1" ySplit="8" topLeftCell="B9" activePane="bottomRight" state="frozen"/>
      <selection activeCell="A52" sqref="A52:O52"/>
      <selection pane="topRight" activeCell="A52" sqref="A52:O52"/>
      <selection pane="bottomLeft" activeCell="A52" sqref="A52:O52"/>
      <selection pane="bottomRight" activeCell="A54" sqref="A54"/>
    </sheetView>
  </sheetViews>
  <sheetFormatPr defaultColWidth="17" defaultRowHeight="11.5"/>
  <cols>
    <col min="1" max="1" width="46.26953125" style="211" customWidth="1"/>
    <col min="2" max="9" width="11.6328125" style="211" customWidth="1"/>
    <col min="10" max="10" width="11.6328125" style="212" customWidth="1"/>
    <col min="11" max="14" width="11.6328125" style="211" customWidth="1"/>
    <col min="15" max="16" width="0" style="211" hidden="1" customWidth="1"/>
    <col min="17" max="16384" width="17" style="211"/>
  </cols>
  <sheetData>
    <row r="1" spans="1:16">
      <c r="A1" s="211" t="s">
        <v>56</v>
      </c>
      <c r="E1" s="209" t="s">
        <v>39</v>
      </c>
    </row>
    <row r="2" spans="1:16">
      <c r="E2" s="209" t="s">
        <v>190</v>
      </c>
    </row>
    <row r="3" spans="1:16">
      <c r="D3" s="213"/>
      <c r="E3" s="214" t="str">
        <f>'Program MW '!H3</f>
        <v>April 2021</v>
      </c>
      <c r="F3" s="213"/>
    </row>
    <row r="4" spans="1:16" ht="12" thickBot="1"/>
    <row r="5" spans="1:16">
      <c r="A5" s="215"/>
      <c r="B5" s="216"/>
      <c r="C5" s="216"/>
      <c r="D5" s="216"/>
      <c r="E5" s="216"/>
      <c r="F5" s="216"/>
      <c r="G5" s="216"/>
      <c r="H5" s="216"/>
      <c r="I5" s="216"/>
      <c r="J5" s="217"/>
      <c r="K5" s="216"/>
      <c r="L5" s="216"/>
      <c r="M5" s="216"/>
      <c r="N5" s="460"/>
    </row>
    <row r="6" spans="1:16" ht="23">
      <c r="A6" s="218" t="s">
        <v>191</v>
      </c>
      <c r="B6" s="447" t="s">
        <v>41</v>
      </c>
      <c r="C6" s="447" t="s">
        <v>42</v>
      </c>
      <c r="D6" s="447" t="s">
        <v>43</v>
      </c>
      <c r="E6" s="447" t="s">
        <v>44</v>
      </c>
      <c r="F6" s="447" t="s">
        <v>31</v>
      </c>
      <c r="G6" s="447" t="s">
        <v>45</v>
      </c>
      <c r="H6" s="447" t="s">
        <v>59</v>
      </c>
      <c r="I6" s="447" t="s">
        <v>66</v>
      </c>
      <c r="J6" s="448" t="s">
        <v>67</v>
      </c>
      <c r="K6" s="447" t="s">
        <v>61</v>
      </c>
      <c r="L6" s="447" t="s">
        <v>68</v>
      </c>
      <c r="M6" s="566" t="s">
        <v>62</v>
      </c>
      <c r="N6" s="567" t="s">
        <v>192</v>
      </c>
    </row>
    <row r="7" spans="1:16">
      <c r="A7" s="219"/>
      <c r="B7" s="220"/>
      <c r="C7" s="220"/>
      <c r="D7" s="220"/>
      <c r="E7" s="220"/>
      <c r="F7" s="220"/>
      <c r="G7" s="220"/>
      <c r="H7" s="446"/>
      <c r="I7" s="220"/>
      <c r="J7" s="221"/>
      <c r="K7" s="220"/>
      <c r="L7" s="220"/>
      <c r="M7" s="437"/>
      <c r="N7" s="461"/>
    </row>
    <row r="8" spans="1:16">
      <c r="A8" s="222" t="s">
        <v>193</v>
      </c>
      <c r="B8" s="220"/>
      <c r="C8" s="220"/>
      <c r="D8" s="220"/>
      <c r="E8" s="220"/>
      <c r="F8" s="220"/>
      <c r="G8" s="220"/>
      <c r="H8" s="446"/>
      <c r="I8" s="220"/>
      <c r="J8" s="221"/>
      <c r="K8" s="220"/>
      <c r="L8" s="220"/>
      <c r="M8" s="437"/>
      <c r="N8" s="462"/>
    </row>
    <row r="9" spans="1:16">
      <c r="A9" s="309" t="s">
        <v>194</v>
      </c>
      <c r="B9" s="609">
        <v>5.4340000000000002</v>
      </c>
      <c r="C9" s="609">
        <v>8.3640000000000008</v>
      </c>
      <c r="D9" s="609">
        <f>24.646-C9-B9</f>
        <v>10.847999999999999</v>
      </c>
      <c r="E9" s="609">
        <v>10.628</v>
      </c>
      <c r="F9" s="609">
        <v>0</v>
      </c>
      <c r="G9" s="609">
        <v>0</v>
      </c>
      <c r="H9" s="609">
        <v>0</v>
      </c>
      <c r="I9" s="609">
        <v>0</v>
      </c>
      <c r="J9" s="609">
        <v>0</v>
      </c>
      <c r="K9" s="609">
        <v>0</v>
      </c>
      <c r="L9" s="609">
        <v>0</v>
      </c>
      <c r="M9" s="610">
        <v>0</v>
      </c>
      <c r="N9" s="611">
        <f t="shared" ref="N9:N33" si="0">SUM(B9:M9)</f>
        <v>35.274000000000001</v>
      </c>
      <c r="O9" s="367">
        <v>0</v>
      </c>
      <c r="P9" s="367">
        <v>0</v>
      </c>
    </row>
    <row r="10" spans="1:16" ht="13.5">
      <c r="A10" s="309" t="s">
        <v>195</v>
      </c>
      <c r="B10" s="602">
        <v>44.155000000000001</v>
      </c>
      <c r="C10" s="602">
        <v>11.638999999999999</v>
      </c>
      <c r="D10" s="602">
        <f>131.908-C10-B10</f>
        <v>76.11399999999999</v>
      </c>
      <c r="E10" s="602">
        <v>45.377000000000002</v>
      </c>
      <c r="F10" s="602">
        <v>0</v>
      </c>
      <c r="G10" s="602">
        <v>0</v>
      </c>
      <c r="H10" s="602">
        <v>0</v>
      </c>
      <c r="I10" s="602">
        <v>0</v>
      </c>
      <c r="J10" s="602">
        <v>0</v>
      </c>
      <c r="K10" s="602">
        <v>0</v>
      </c>
      <c r="L10" s="602">
        <v>0</v>
      </c>
      <c r="M10" s="602">
        <v>0</v>
      </c>
      <c r="N10" s="603">
        <f t="shared" si="0"/>
        <v>177.285</v>
      </c>
    </row>
    <row r="11" spans="1:16" ht="14.25" customHeight="1">
      <c r="A11" s="309" t="s">
        <v>196</v>
      </c>
      <c r="B11" s="602">
        <v>5.3719999999999999</v>
      </c>
      <c r="C11" s="604">
        <v>5.4429999999999996</v>
      </c>
      <c r="D11" s="604">
        <f>16.812-C11-B11</f>
        <v>5.9970000000000017</v>
      </c>
      <c r="E11" s="604">
        <v>6.6950000000000003</v>
      </c>
      <c r="F11" s="604">
        <v>0</v>
      </c>
      <c r="G11" s="604">
        <v>0</v>
      </c>
      <c r="H11" s="604">
        <v>0</v>
      </c>
      <c r="I11" s="604">
        <v>0</v>
      </c>
      <c r="J11" s="604">
        <v>0</v>
      </c>
      <c r="K11" s="604">
        <v>0</v>
      </c>
      <c r="L11" s="604">
        <v>0</v>
      </c>
      <c r="M11" s="604">
        <v>0</v>
      </c>
      <c r="N11" s="603">
        <f t="shared" si="0"/>
        <v>23.507000000000001</v>
      </c>
    </row>
    <row r="12" spans="1:16">
      <c r="A12" s="309" t="s">
        <v>197</v>
      </c>
      <c r="B12" s="602">
        <v>0</v>
      </c>
      <c r="C12" s="604">
        <v>0</v>
      </c>
      <c r="D12" s="604">
        <v>0</v>
      </c>
      <c r="E12" s="604">
        <v>0</v>
      </c>
      <c r="F12" s="604">
        <v>0</v>
      </c>
      <c r="G12" s="604">
        <v>0</v>
      </c>
      <c r="H12" s="604">
        <v>0</v>
      </c>
      <c r="I12" s="604">
        <v>0</v>
      </c>
      <c r="J12" s="604">
        <v>0</v>
      </c>
      <c r="K12" s="604">
        <v>0</v>
      </c>
      <c r="L12" s="604">
        <v>0</v>
      </c>
      <c r="M12" s="604">
        <v>0</v>
      </c>
      <c r="N12" s="603">
        <f t="shared" si="0"/>
        <v>0</v>
      </c>
    </row>
    <row r="13" spans="1:16">
      <c r="A13" s="309" t="s">
        <v>198</v>
      </c>
      <c r="B13" s="602">
        <v>6.5279999999999996</v>
      </c>
      <c r="C13" s="604">
        <v>9.1560000000000006</v>
      </c>
      <c r="D13" s="604">
        <f>25.223-C13-B13</f>
        <v>9.5390000000000015</v>
      </c>
      <c r="E13" s="604">
        <v>17.847000000000001</v>
      </c>
      <c r="F13" s="604">
        <v>0</v>
      </c>
      <c r="G13" s="604">
        <v>0</v>
      </c>
      <c r="H13" s="604">
        <v>0</v>
      </c>
      <c r="I13" s="604">
        <v>0</v>
      </c>
      <c r="J13" s="604">
        <v>0</v>
      </c>
      <c r="K13" s="604">
        <v>0</v>
      </c>
      <c r="L13" s="604">
        <v>0</v>
      </c>
      <c r="M13" s="604">
        <v>0</v>
      </c>
      <c r="N13" s="603">
        <f t="shared" si="0"/>
        <v>43.070000000000007</v>
      </c>
    </row>
    <row r="14" spans="1:16">
      <c r="A14" s="309" t="s">
        <v>199</v>
      </c>
      <c r="B14" s="632">
        <v>10.265000000000001</v>
      </c>
      <c r="C14" s="633">
        <v>9.8539999999999992</v>
      </c>
      <c r="D14" s="633">
        <v>13.487</v>
      </c>
      <c r="E14" s="633">
        <v>12.321999999999999</v>
      </c>
      <c r="F14" s="633">
        <v>0</v>
      </c>
      <c r="G14" s="633">
        <v>0</v>
      </c>
      <c r="H14" s="633">
        <v>0</v>
      </c>
      <c r="I14" s="633">
        <v>0</v>
      </c>
      <c r="J14" s="633">
        <v>0</v>
      </c>
      <c r="K14" s="633">
        <v>0</v>
      </c>
      <c r="L14" s="633">
        <v>0</v>
      </c>
      <c r="M14" s="633">
        <v>0</v>
      </c>
      <c r="N14" s="634">
        <f t="shared" si="0"/>
        <v>45.927999999999997</v>
      </c>
    </row>
    <row r="15" spans="1:16">
      <c r="A15" s="309" t="s">
        <v>200</v>
      </c>
      <c r="B15" s="632">
        <v>22.998999999999999</v>
      </c>
      <c r="C15" s="633">
        <v>17.649999999999999</v>
      </c>
      <c r="D15" s="633">
        <f>90.729-C15-B15</f>
        <v>50.080000000000013</v>
      </c>
      <c r="E15" s="633">
        <v>21.035</v>
      </c>
      <c r="F15" s="633">
        <v>0</v>
      </c>
      <c r="G15" s="633">
        <v>0</v>
      </c>
      <c r="H15" s="633">
        <v>0</v>
      </c>
      <c r="I15" s="633">
        <v>0</v>
      </c>
      <c r="J15" s="633">
        <v>0</v>
      </c>
      <c r="K15" s="633">
        <v>0</v>
      </c>
      <c r="L15" s="633">
        <v>0</v>
      </c>
      <c r="M15" s="633">
        <v>0</v>
      </c>
      <c r="N15" s="634">
        <f t="shared" si="0"/>
        <v>111.76400000000001</v>
      </c>
    </row>
    <row r="16" spans="1:16">
      <c r="A16" s="309" t="s">
        <v>161</v>
      </c>
      <c r="B16" s="632">
        <v>11.461</v>
      </c>
      <c r="C16" s="633">
        <v>10.833</v>
      </c>
      <c r="D16" s="633">
        <f>35.334-C16-B16</f>
        <v>13.040000000000004</v>
      </c>
      <c r="E16" s="633">
        <v>20.324000000000002</v>
      </c>
      <c r="F16" s="633">
        <v>0</v>
      </c>
      <c r="G16" s="633">
        <v>0</v>
      </c>
      <c r="H16" s="633">
        <v>0</v>
      </c>
      <c r="I16" s="633">
        <v>0</v>
      </c>
      <c r="J16" s="633">
        <v>0</v>
      </c>
      <c r="K16" s="633">
        <v>0</v>
      </c>
      <c r="L16" s="633">
        <v>0</v>
      </c>
      <c r="M16" s="633">
        <v>0</v>
      </c>
      <c r="N16" s="634">
        <f t="shared" si="0"/>
        <v>55.658000000000001</v>
      </c>
    </row>
    <row r="17" spans="1:15">
      <c r="A17" s="309" t="s">
        <v>162</v>
      </c>
      <c r="B17" s="632">
        <v>7.4180000000000001</v>
      </c>
      <c r="C17" s="633">
        <v>9.0180000000000007</v>
      </c>
      <c r="D17" s="633">
        <f>26.365-C17-B17</f>
        <v>9.9289999999999985</v>
      </c>
      <c r="E17" s="633">
        <v>25.263000000000002</v>
      </c>
      <c r="F17" s="633">
        <v>0</v>
      </c>
      <c r="G17" s="633">
        <v>0</v>
      </c>
      <c r="H17" s="633">
        <v>0</v>
      </c>
      <c r="I17" s="633">
        <v>0</v>
      </c>
      <c r="J17" s="633">
        <v>0</v>
      </c>
      <c r="K17" s="633">
        <v>0</v>
      </c>
      <c r="L17" s="633">
        <v>0</v>
      </c>
      <c r="M17" s="633">
        <v>0</v>
      </c>
      <c r="N17" s="634">
        <f t="shared" si="0"/>
        <v>51.628</v>
      </c>
    </row>
    <row r="18" spans="1:15">
      <c r="A18" s="309" t="s">
        <v>201</v>
      </c>
      <c r="B18" s="632">
        <v>0</v>
      </c>
      <c r="C18" s="633">
        <v>0</v>
      </c>
      <c r="D18" s="633">
        <v>0</v>
      </c>
      <c r="E18" s="633">
        <v>0</v>
      </c>
      <c r="F18" s="633">
        <v>0</v>
      </c>
      <c r="G18" s="633">
        <v>0</v>
      </c>
      <c r="H18" s="633">
        <v>0</v>
      </c>
      <c r="I18" s="633">
        <v>0</v>
      </c>
      <c r="J18" s="633">
        <v>0</v>
      </c>
      <c r="K18" s="633">
        <v>0</v>
      </c>
      <c r="L18" s="633">
        <v>0</v>
      </c>
      <c r="M18" s="633">
        <v>0</v>
      </c>
      <c r="N18" s="634">
        <f t="shared" si="0"/>
        <v>0</v>
      </c>
    </row>
    <row r="19" spans="1:15" ht="13.5">
      <c r="A19" s="309" t="s">
        <v>202</v>
      </c>
      <c r="B19" s="632">
        <v>1.681</v>
      </c>
      <c r="C19" s="633">
        <v>1.873</v>
      </c>
      <c r="D19" s="633">
        <f>6.233-C19-B19</f>
        <v>2.6789999999999994</v>
      </c>
      <c r="E19" s="633">
        <v>2.4420000000000002</v>
      </c>
      <c r="F19" s="633">
        <v>0</v>
      </c>
      <c r="G19" s="633">
        <v>0</v>
      </c>
      <c r="H19" s="633">
        <v>0</v>
      </c>
      <c r="I19" s="633">
        <v>0</v>
      </c>
      <c r="J19" s="633">
        <v>0</v>
      </c>
      <c r="K19" s="633">
        <v>0</v>
      </c>
      <c r="L19" s="633">
        <v>0</v>
      </c>
      <c r="M19" s="633">
        <v>0</v>
      </c>
      <c r="N19" s="634">
        <f t="shared" si="0"/>
        <v>8.6750000000000007</v>
      </c>
    </row>
    <row r="20" spans="1:15" s="213" customFormat="1">
      <c r="A20" s="409" t="s">
        <v>132</v>
      </c>
      <c r="B20" s="632">
        <v>0</v>
      </c>
      <c r="C20" s="633">
        <v>0</v>
      </c>
      <c r="D20" s="633">
        <v>0</v>
      </c>
      <c r="E20" s="633">
        <v>0</v>
      </c>
      <c r="F20" s="633">
        <v>0</v>
      </c>
      <c r="G20" s="633">
        <v>0</v>
      </c>
      <c r="H20" s="633">
        <v>0</v>
      </c>
      <c r="I20" s="633">
        <v>0</v>
      </c>
      <c r="J20" s="633">
        <v>0</v>
      </c>
      <c r="K20" s="633">
        <v>0</v>
      </c>
      <c r="L20" s="633">
        <v>0</v>
      </c>
      <c r="M20" s="633">
        <v>0</v>
      </c>
      <c r="N20" s="634">
        <f t="shared" si="0"/>
        <v>0</v>
      </c>
    </row>
    <row r="21" spans="1:15">
      <c r="A21" s="409" t="s">
        <v>203</v>
      </c>
      <c r="B21" s="632">
        <v>111.34399999999999</v>
      </c>
      <c r="C21" s="633">
        <v>1.498</v>
      </c>
      <c r="D21" s="633">
        <f>114.985-C21-B21</f>
        <v>2.1430000000000007</v>
      </c>
      <c r="E21" s="633">
        <v>1.9530000000000001</v>
      </c>
      <c r="F21" s="633">
        <v>0</v>
      </c>
      <c r="G21" s="633">
        <v>0</v>
      </c>
      <c r="H21" s="633">
        <v>0</v>
      </c>
      <c r="I21" s="633">
        <v>0</v>
      </c>
      <c r="J21" s="633">
        <v>0</v>
      </c>
      <c r="K21" s="633">
        <v>0</v>
      </c>
      <c r="L21" s="633">
        <v>0</v>
      </c>
      <c r="M21" s="633">
        <v>0</v>
      </c>
      <c r="N21" s="634">
        <f t="shared" si="0"/>
        <v>116.938</v>
      </c>
    </row>
    <row r="22" spans="1:15" ht="14.5">
      <c r="A22" s="309" t="s">
        <v>270</v>
      </c>
      <c r="B22" s="632">
        <v>2.75</v>
      </c>
      <c r="C22" s="633">
        <v>0</v>
      </c>
      <c r="D22" s="633">
        <f>43.162-C22-B22</f>
        <v>40.411999999999999</v>
      </c>
      <c r="E22" s="633">
        <v>1.641</v>
      </c>
      <c r="F22" s="633">
        <v>0</v>
      </c>
      <c r="G22" s="633">
        <v>0</v>
      </c>
      <c r="H22" s="633">
        <v>0</v>
      </c>
      <c r="I22" s="633">
        <v>0</v>
      </c>
      <c r="J22" s="633">
        <v>0</v>
      </c>
      <c r="K22" s="633">
        <v>0</v>
      </c>
      <c r="L22" s="633">
        <v>0</v>
      </c>
      <c r="M22" s="633">
        <v>0</v>
      </c>
      <c r="N22" s="634">
        <f t="shared" si="0"/>
        <v>44.802999999999997</v>
      </c>
    </row>
    <row r="23" spans="1:15">
      <c r="A23" s="309" t="s">
        <v>204</v>
      </c>
      <c r="B23" s="632">
        <v>37.207999999999998</v>
      </c>
      <c r="C23" s="633">
        <v>42.548000000000002</v>
      </c>
      <c r="D23" s="633">
        <v>57.579000000000001</v>
      </c>
      <c r="E23" s="633">
        <v>51.548999999999999</v>
      </c>
      <c r="F23" s="633">
        <v>0</v>
      </c>
      <c r="G23" s="633">
        <v>0</v>
      </c>
      <c r="H23" s="633">
        <v>0</v>
      </c>
      <c r="I23" s="633">
        <v>0</v>
      </c>
      <c r="J23" s="633">
        <v>0</v>
      </c>
      <c r="K23" s="633">
        <v>0</v>
      </c>
      <c r="L23" s="633">
        <v>0</v>
      </c>
      <c r="M23" s="633">
        <v>0</v>
      </c>
      <c r="N23" s="634">
        <f t="shared" si="0"/>
        <v>188.88400000000001</v>
      </c>
    </row>
    <row r="24" spans="1:15">
      <c r="A24" s="309" t="s">
        <v>271</v>
      </c>
      <c r="B24" s="632">
        <v>120.524</v>
      </c>
      <c r="C24" s="633">
        <v>107.79600000000001</v>
      </c>
      <c r="D24" s="633">
        <f>380.534-C24-B24</f>
        <v>152.214</v>
      </c>
      <c r="E24" s="633">
        <v>150.024</v>
      </c>
      <c r="F24" s="633">
        <v>0</v>
      </c>
      <c r="G24" s="633">
        <v>0</v>
      </c>
      <c r="H24" s="633">
        <v>0</v>
      </c>
      <c r="I24" s="633">
        <v>0</v>
      </c>
      <c r="J24" s="633">
        <v>0</v>
      </c>
      <c r="K24" s="633">
        <v>0</v>
      </c>
      <c r="L24" s="633">
        <v>0</v>
      </c>
      <c r="M24" s="633">
        <v>0</v>
      </c>
      <c r="N24" s="634">
        <f t="shared" si="0"/>
        <v>530.55799999999999</v>
      </c>
    </row>
    <row r="25" spans="1:15" ht="13.5">
      <c r="A25" s="309" t="s">
        <v>272</v>
      </c>
      <c r="B25" s="632">
        <v>23.262</v>
      </c>
      <c r="C25" s="633">
        <v>81.326999999999998</v>
      </c>
      <c r="D25" s="633">
        <f>174.323-C25-B25</f>
        <v>69.734000000000009</v>
      </c>
      <c r="E25" s="633">
        <v>49.412999999999997</v>
      </c>
      <c r="F25" s="633">
        <v>0</v>
      </c>
      <c r="G25" s="633">
        <v>0</v>
      </c>
      <c r="H25" s="633">
        <v>0</v>
      </c>
      <c r="I25" s="633">
        <v>0</v>
      </c>
      <c r="J25" s="633">
        <v>0</v>
      </c>
      <c r="K25" s="633">
        <v>0</v>
      </c>
      <c r="L25" s="633">
        <v>0</v>
      </c>
      <c r="M25" s="633">
        <v>0</v>
      </c>
      <c r="N25" s="634">
        <f t="shared" si="0"/>
        <v>223.73599999999999</v>
      </c>
    </row>
    <row r="26" spans="1:15" s="224" customFormat="1">
      <c r="A26" s="309" t="s">
        <v>173</v>
      </c>
      <c r="B26" s="632">
        <v>3.379</v>
      </c>
      <c r="C26" s="633">
        <v>24.798999999999999</v>
      </c>
      <c r="D26" s="633">
        <f>28.178-C26-B26</f>
        <v>0</v>
      </c>
      <c r="E26" s="633">
        <v>0</v>
      </c>
      <c r="F26" s="633">
        <v>0</v>
      </c>
      <c r="G26" s="633">
        <v>0</v>
      </c>
      <c r="H26" s="633">
        <v>0</v>
      </c>
      <c r="I26" s="633">
        <v>0</v>
      </c>
      <c r="J26" s="633">
        <v>0</v>
      </c>
      <c r="K26" s="633">
        <v>0</v>
      </c>
      <c r="L26" s="633">
        <v>0</v>
      </c>
      <c r="M26" s="633">
        <v>0</v>
      </c>
      <c r="N26" s="634">
        <f t="shared" si="0"/>
        <v>28.178000000000001</v>
      </c>
      <c r="O26" s="211"/>
    </row>
    <row r="27" spans="1:15" s="224" customFormat="1" ht="13.5">
      <c r="A27" s="410" t="s">
        <v>304</v>
      </c>
      <c r="B27" s="632">
        <v>55.295999999999999</v>
      </c>
      <c r="C27" s="633">
        <v>-33.177999999999997</v>
      </c>
      <c r="D27" s="633">
        <v>56.866</v>
      </c>
      <c r="E27" s="633">
        <v>0</v>
      </c>
      <c r="F27" s="633">
        <v>0</v>
      </c>
      <c r="G27" s="633">
        <v>0</v>
      </c>
      <c r="H27" s="633">
        <v>0</v>
      </c>
      <c r="I27" s="633">
        <v>0</v>
      </c>
      <c r="J27" s="633">
        <v>0</v>
      </c>
      <c r="K27" s="633">
        <v>0</v>
      </c>
      <c r="L27" s="633">
        <v>0</v>
      </c>
      <c r="M27" s="633">
        <v>0</v>
      </c>
      <c r="N27" s="634">
        <f t="shared" si="0"/>
        <v>78.984000000000009</v>
      </c>
      <c r="O27" s="211"/>
    </row>
    <row r="28" spans="1:15" s="224" customFormat="1" ht="14.9" customHeight="1">
      <c r="A28" s="309" t="s">
        <v>273</v>
      </c>
      <c r="B28" s="632">
        <v>22.978999999999999</v>
      </c>
      <c r="C28" s="633">
        <v>1.4</v>
      </c>
      <c r="D28" s="633">
        <v>1.101</v>
      </c>
      <c r="E28" s="633">
        <v>1.042</v>
      </c>
      <c r="F28" s="633">
        <v>0</v>
      </c>
      <c r="G28" s="633">
        <v>0</v>
      </c>
      <c r="H28" s="633">
        <v>0</v>
      </c>
      <c r="I28" s="633">
        <v>0</v>
      </c>
      <c r="J28" s="633">
        <v>0</v>
      </c>
      <c r="K28" s="633">
        <v>0</v>
      </c>
      <c r="L28" s="633">
        <v>0</v>
      </c>
      <c r="M28" s="633">
        <v>0</v>
      </c>
      <c r="N28" s="634">
        <f t="shared" si="0"/>
        <v>26.521999999999998</v>
      </c>
    </row>
    <row r="29" spans="1:15" s="224" customFormat="1" ht="13.5">
      <c r="A29" s="309" t="s">
        <v>274</v>
      </c>
      <c r="B29" s="632">
        <v>8.077</v>
      </c>
      <c r="C29" s="633">
        <v>40.624000000000002</v>
      </c>
      <c r="D29" s="633">
        <v>2.5049999999999999</v>
      </c>
      <c r="E29" s="633">
        <v>10.302</v>
      </c>
      <c r="F29" s="633">
        <v>0</v>
      </c>
      <c r="G29" s="633">
        <v>0</v>
      </c>
      <c r="H29" s="633">
        <v>0</v>
      </c>
      <c r="I29" s="633">
        <v>0</v>
      </c>
      <c r="J29" s="633">
        <v>0</v>
      </c>
      <c r="K29" s="633">
        <v>0</v>
      </c>
      <c r="L29" s="633">
        <v>0</v>
      </c>
      <c r="M29" s="633">
        <v>0</v>
      </c>
      <c r="N29" s="634">
        <f t="shared" si="0"/>
        <v>61.508000000000003</v>
      </c>
    </row>
    <row r="30" spans="1:15" s="224" customFormat="1" ht="13.5">
      <c r="A30" s="309" t="s">
        <v>205</v>
      </c>
      <c r="B30" s="632">
        <v>7.1999999999999995E-2</v>
      </c>
      <c r="C30" s="633">
        <v>1.6519999999999999</v>
      </c>
      <c r="D30" s="633">
        <v>0.84399999999999997</v>
      </c>
      <c r="E30" s="633">
        <v>8.3000000000000004E-2</v>
      </c>
      <c r="F30" s="633">
        <v>0</v>
      </c>
      <c r="G30" s="633">
        <v>0</v>
      </c>
      <c r="H30" s="633">
        <v>0</v>
      </c>
      <c r="I30" s="633">
        <v>0</v>
      </c>
      <c r="J30" s="633">
        <v>0</v>
      </c>
      <c r="K30" s="633">
        <v>0</v>
      </c>
      <c r="L30" s="633">
        <v>0</v>
      </c>
      <c r="M30" s="633">
        <v>0</v>
      </c>
      <c r="N30" s="634">
        <f t="shared" si="0"/>
        <v>2.6510000000000002</v>
      </c>
    </row>
    <row r="31" spans="1:15" s="224" customFormat="1">
      <c r="A31" s="309" t="s">
        <v>206</v>
      </c>
      <c r="B31" s="632">
        <v>11.85</v>
      </c>
      <c r="C31" s="633">
        <v>31.484999999999999</v>
      </c>
      <c r="D31" s="633">
        <v>36.584000000000003</v>
      </c>
      <c r="E31" s="633">
        <v>25.762</v>
      </c>
      <c r="F31" s="633">
        <v>0</v>
      </c>
      <c r="G31" s="633">
        <v>0</v>
      </c>
      <c r="H31" s="633">
        <v>0</v>
      </c>
      <c r="I31" s="633">
        <v>0</v>
      </c>
      <c r="J31" s="633">
        <v>0</v>
      </c>
      <c r="K31" s="633">
        <v>0</v>
      </c>
      <c r="L31" s="633">
        <v>0</v>
      </c>
      <c r="M31" s="633">
        <v>0</v>
      </c>
      <c r="N31" s="634">
        <f t="shared" si="0"/>
        <v>105.68100000000001</v>
      </c>
    </row>
    <row r="32" spans="1:15" s="224" customFormat="1" ht="13.5">
      <c r="A32" s="309" t="s">
        <v>303</v>
      </c>
      <c r="B32" s="632">
        <v>3.2120000000000002</v>
      </c>
      <c r="C32" s="633">
        <v>-50.23</v>
      </c>
      <c r="D32" s="633">
        <v>-2.1789999999999998</v>
      </c>
      <c r="E32" s="633">
        <v>0</v>
      </c>
      <c r="F32" s="633">
        <v>0</v>
      </c>
      <c r="G32" s="633">
        <v>0</v>
      </c>
      <c r="H32" s="633">
        <v>0</v>
      </c>
      <c r="I32" s="633">
        <v>0</v>
      </c>
      <c r="J32" s="633">
        <v>0</v>
      </c>
      <c r="K32" s="633">
        <v>0</v>
      </c>
      <c r="L32" s="633">
        <v>0</v>
      </c>
      <c r="M32" s="633">
        <v>0</v>
      </c>
      <c r="N32" s="634">
        <f t="shared" si="0"/>
        <v>-49.196999999999996</v>
      </c>
    </row>
    <row r="33" spans="1:15" s="224" customFormat="1">
      <c r="A33" s="309" t="s">
        <v>275</v>
      </c>
      <c r="B33" s="635">
        <v>0</v>
      </c>
      <c r="C33" s="636">
        <v>544.17999999999995</v>
      </c>
      <c r="D33" s="636">
        <v>285.53699999999998</v>
      </c>
      <c r="E33" s="636">
        <v>285.32600000000002</v>
      </c>
      <c r="F33" s="636">
        <v>0</v>
      </c>
      <c r="G33" s="636">
        <v>0</v>
      </c>
      <c r="H33" s="636">
        <v>0</v>
      </c>
      <c r="I33" s="636">
        <v>0</v>
      </c>
      <c r="J33" s="636">
        <v>0</v>
      </c>
      <c r="K33" s="636">
        <v>0</v>
      </c>
      <c r="L33" s="636">
        <v>0</v>
      </c>
      <c r="M33" s="636">
        <v>0</v>
      </c>
      <c r="N33" s="634">
        <f t="shared" si="0"/>
        <v>1115.0429999999999</v>
      </c>
    </row>
    <row r="34" spans="1:15" ht="12" thickBot="1">
      <c r="A34" s="316" t="s">
        <v>207</v>
      </c>
      <c r="B34" s="637">
        <f t="shared" ref="B34:M34" si="1">SUM(B9:B33)</f>
        <v>515.26599999999996</v>
      </c>
      <c r="C34" s="605">
        <f t="shared" si="1"/>
        <v>877.73099999999999</v>
      </c>
      <c r="D34" s="605">
        <f t="shared" si="1"/>
        <v>895.05299999999988</v>
      </c>
      <c r="E34" s="605">
        <f t="shared" si="1"/>
        <v>739.02800000000002</v>
      </c>
      <c r="F34" s="605">
        <f t="shared" si="1"/>
        <v>0</v>
      </c>
      <c r="G34" s="605">
        <f t="shared" si="1"/>
        <v>0</v>
      </c>
      <c r="H34" s="605">
        <f t="shared" si="1"/>
        <v>0</v>
      </c>
      <c r="I34" s="605">
        <f t="shared" si="1"/>
        <v>0</v>
      </c>
      <c r="J34" s="605">
        <f t="shared" si="1"/>
        <v>0</v>
      </c>
      <c r="K34" s="605">
        <f t="shared" si="1"/>
        <v>0</v>
      </c>
      <c r="L34" s="605">
        <f t="shared" si="1"/>
        <v>0</v>
      </c>
      <c r="M34" s="605">
        <f t="shared" si="1"/>
        <v>0</v>
      </c>
      <c r="N34" s="638">
        <f>SUM(N9:N33)</f>
        <v>3027.0780000000004</v>
      </c>
    </row>
    <row r="35" spans="1:15">
      <c r="A35" s="309"/>
      <c r="B35" s="632"/>
      <c r="C35" s="606"/>
      <c r="D35" s="606"/>
      <c r="E35" s="606"/>
      <c r="F35" s="606"/>
      <c r="G35" s="606"/>
      <c r="H35" s="606"/>
      <c r="I35" s="606"/>
      <c r="J35" s="606"/>
      <c r="K35" s="606"/>
      <c r="L35" s="606"/>
      <c r="M35" s="606"/>
      <c r="N35" s="634"/>
    </row>
    <row r="36" spans="1:15" s="224" customFormat="1">
      <c r="A36" s="308" t="s">
        <v>208</v>
      </c>
      <c r="B36" s="632"/>
      <c r="C36" s="606"/>
      <c r="D36" s="606"/>
      <c r="E36" s="606"/>
      <c r="F36" s="606"/>
      <c r="G36" s="606"/>
      <c r="H36" s="606"/>
      <c r="I36" s="606"/>
      <c r="J36" s="606"/>
      <c r="K36" s="606"/>
      <c r="L36" s="606"/>
      <c r="M36" s="606"/>
      <c r="N36" s="634"/>
      <c r="O36" s="211"/>
    </row>
    <row r="37" spans="1:15">
      <c r="A37" s="309" t="s">
        <v>194</v>
      </c>
      <c r="B37" s="633">
        <v>124.98</v>
      </c>
      <c r="C37" s="633">
        <v>0</v>
      </c>
      <c r="D37" s="633">
        <f>124.98-C37-B37</f>
        <v>0</v>
      </c>
      <c r="E37" s="633">
        <v>0</v>
      </c>
      <c r="F37" s="633">
        <v>0</v>
      </c>
      <c r="G37" s="633">
        <v>0</v>
      </c>
      <c r="H37" s="633">
        <v>0</v>
      </c>
      <c r="I37" s="633">
        <v>0</v>
      </c>
      <c r="J37" s="633">
        <v>0</v>
      </c>
      <c r="K37" s="633">
        <v>0</v>
      </c>
      <c r="L37" s="633">
        <v>0</v>
      </c>
      <c r="M37" s="633">
        <v>0</v>
      </c>
      <c r="N37" s="639">
        <f t="shared" ref="N37:N46" si="2">SUM(B37:M37)</f>
        <v>124.98</v>
      </c>
    </row>
    <row r="38" spans="1:15" s="213" customFormat="1" ht="14.5">
      <c r="A38" s="310" t="s">
        <v>209</v>
      </c>
      <c r="B38" s="633">
        <v>0.24199999999999999</v>
      </c>
      <c r="C38" s="633">
        <v>0.216</v>
      </c>
      <c r="D38" s="633">
        <f>0.782-C38-B38</f>
        <v>0.32400000000000007</v>
      </c>
      <c r="E38" s="633">
        <v>0</v>
      </c>
      <c r="F38" s="633">
        <v>0</v>
      </c>
      <c r="G38" s="633">
        <v>0</v>
      </c>
      <c r="H38" s="633">
        <v>0</v>
      </c>
      <c r="I38" s="633">
        <v>0</v>
      </c>
      <c r="J38" s="633">
        <v>0</v>
      </c>
      <c r="K38" s="633">
        <v>0</v>
      </c>
      <c r="L38" s="633">
        <v>0</v>
      </c>
      <c r="M38" s="633">
        <v>0</v>
      </c>
      <c r="N38" s="634">
        <f t="shared" si="2"/>
        <v>0.78200000000000003</v>
      </c>
    </row>
    <row r="39" spans="1:15" ht="15">
      <c r="A39" s="309" t="s">
        <v>312</v>
      </c>
      <c r="B39" s="633">
        <v>18.131</v>
      </c>
      <c r="C39" s="633">
        <v>0</v>
      </c>
      <c r="D39" s="633">
        <f>37.401-C39-B39</f>
        <v>19.270000000000003</v>
      </c>
      <c r="E39" s="633">
        <v>0</v>
      </c>
      <c r="F39" s="633">
        <v>0</v>
      </c>
      <c r="G39" s="633">
        <v>0</v>
      </c>
      <c r="H39" s="633">
        <v>0</v>
      </c>
      <c r="I39" s="633">
        <v>0</v>
      </c>
      <c r="J39" s="633">
        <v>0</v>
      </c>
      <c r="K39" s="633">
        <v>0</v>
      </c>
      <c r="L39" s="633">
        <v>0</v>
      </c>
      <c r="M39" s="633">
        <v>0</v>
      </c>
      <c r="N39" s="634">
        <f t="shared" si="2"/>
        <v>37.401000000000003</v>
      </c>
    </row>
    <row r="40" spans="1:15">
      <c r="A40" s="309" t="s">
        <v>210</v>
      </c>
      <c r="B40" s="633">
        <v>0</v>
      </c>
      <c r="C40" s="633">
        <v>0</v>
      </c>
      <c r="D40" s="633">
        <v>0</v>
      </c>
      <c r="E40" s="633">
        <v>3.0630000000000002</v>
      </c>
      <c r="F40" s="633">
        <v>0</v>
      </c>
      <c r="G40" s="633">
        <v>0</v>
      </c>
      <c r="H40" s="633">
        <v>0</v>
      </c>
      <c r="I40" s="633">
        <v>0</v>
      </c>
      <c r="J40" s="633">
        <v>0</v>
      </c>
      <c r="K40" s="633">
        <v>0</v>
      </c>
      <c r="L40" s="633">
        <v>0</v>
      </c>
      <c r="M40" s="633">
        <v>0</v>
      </c>
      <c r="N40" s="634">
        <f t="shared" si="2"/>
        <v>3.0630000000000002</v>
      </c>
    </row>
    <row r="41" spans="1:15" ht="13.5">
      <c r="A41" s="309" t="s">
        <v>276</v>
      </c>
      <c r="B41" s="633">
        <v>86.581000000000003</v>
      </c>
      <c r="C41" s="633">
        <v>95.628</v>
      </c>
      <c r="D41" s="633">
        <v>254.01</v>
      </c>
      <c r="E41" s="633">
        <v>11.034000000000001</v>
      </c>
      <c r="F41" s="633">
        <v>0</v>
      </c>
      <c r="G41" s="633">
        <v>0</v>
      </c>
      <c r="H41" s="633">
        <v>0</v>
      </c>
      <c r="I41" s="633">
        <v>0</v>
      </c>
      <c r="J41" s="633">
        <v>0</v>
      </c>
      <c r="K41" s="633">
        <v>0</v>
      </c>
      <c r="L41" s="633">
        <v>0</v>
      </c>
      <c r="M41" s="633">
        <v>0</v>
      </c>
      <c r="N41" s="634">
        <f t="shared" si="2"/>
        <v>447.25299999999999</v>
      </c>
    </row>
    <row r="42" spans="1:15">
      <c r="A42" s="310" t="s">
        <v>211</v>
      </c>
      <c r="B42" s="633">
        <v>18.05</v>
      </c>
      <c r="C42" s="633">
        <v>15.7</v>
      </c>
      <c r="D42" s="633">
        <f>49.05-C42-B42</f>
        <v>15.299999999999994</v>
      </c>
      <c r="E42" s="633">
        <v>20.05</v>
      </c>
      <c r="F42" s="633">
        <v>0</v>
      </c>
      <c r="G42" s="633">
        <v>0</v>
      </c>
      <c r="H42" s="633">
        <v>0</v>
      </c>
      <c r="I42" s="633">
        <v>0</v>
      </c>
      <c r="J42" s="633">
        <v>0</v>
      </c>
      <c r="K42" s="633">
        <v>0</v>
      </c>
      <c r="L42" s="633">
        <v>0</v>
      </c>
      <c r="M42" s="633">
        <v>0</v>
      </c>
      <c r="N42" s="634">
        <f t="shared" si="2"/>
        <v>69.099999999999994</v>
      </c>
    </row>
    <row r="43" spans="1:15">
      <c r="A43" s="309" t="s">
        <v>162</v>
      </c>
      <c r="B43" s="633">
        <v>0</v>
      </c>
      <c r="C43" s="633">
        <v>0</v>
      </c>
      <c r="D43" s="633">
        <f>0.276-C43-B43</f>
        <v>0.27600000000000002</v>
      </c>
      <c r="E43" s="633">
        <v>0</v>
      </c>
      <c r="F43" s="633">
        <v>0</v>
      </c>
      <c r="G43" s="633">
        <v>0</v>
      </c>
      <c r="H43" s="633">
        <v>0</v>
      </c>
      <c r="I43" s="633">
        <v>0</v>
      </c>
      <c r="J43" s="633">
        <v>0</v>
      </c>
      <c r="K43" s="633">
        <v>0</v>
      </c>
      <c r="L43" s="633">
        <v>0</v>
      </c>
      <c r="M43" s="633">
        <v>0</v>
      </c>
      <c r="N43" s="634">
        <f t="shared" si="2"/>
        <v>0.27600000000000002</v>
      </c>
    </row>
    <row r="44" spans="1:15">
      <c r="A44" s="309" t="s">
        <v>201</v>
      </c>
      <c r="B44" s="633">
        <v>0</v>
      </c>
      <c r="C44" s="633">
        <v>0</v>
      </c>
      <c r="D44" s="633">
        <v>0</v>
      </c>
      <c r="E44" s="633">
        <v>0</v>
      </c>
      <c r="F44" s="633">
        <v>0</v>
      </c>
      <c r="G44" s="633">
        <v>0</v>
      </c>
      <c r="H44" s="633">
        <v>0</v>
      </c>
      <c r="I44" s="633">
        <v>0</v>
      </c>
      <c r="J44" s="633">
        <v>0</v>
      </c>
      <c r="K44" s="633">
        <v>0</v>
      </c>
      <c r="L44" s="633">
        <v>0</v>
      </c>
      <c r="M44" s="633">
        <v>0</v>
      </c>
      <c r="N44" s="634">
        <f t="shared" si="2"/>
        <v>0</v>
      </c>
    </row>
    <row r="45" spans="1:15">
      <c r="A45" s="409" t="s">
        <v>212</v>
      </c>
      <c r="B45" s="633">
        <v>0</v>
      </c>
      <c r="C45" s="633">
        <v>0</v>
      </c>
      <c r="D45" s="633">
        <v>0</v>
      </c>
      <c r="E45" s="633">
        <v>0</v>
      </c>
      <c r="F45" s="633">
        <v>0</v>
      </c>
      <c r="G45" s="633">
        <v>0</v>
      </c>
      <c r="H45" s="633">
        <v>0</v>
      </c>
      <c r="I45" s="633">
        <v>0</v>
      </c>
      <c r="J45" s="633">
        <v>0</v>
      </c>
      <c r="K45" s="633">
        <v>0</v>
      </c>
      <c r="L45" s="633">
        <v>0</v>
      </c>
      <c r="M45" s="633">
        <v>0</v>
      </c>
      <c r="N45" s="634">
        <f t="shared" si="2"/>
        <v>0</v>
      </c>
    </row>
    <row r="46" spans="1:15">
      <c r="A46" s="309" t="s">
        <v>213</v>
      </c>
      <c r="B46" s="636">
        <v>0</v>
      </c>
      <c r="C46" s="636">
        <v>0</v>
      </c>
      <c r="D46" s="636">
        <v>0</v>
      </c>
      <c r="E46" s="636">
        <v>0</v>
      </c>
      <c r="F46" s="636">
        <v>0</v>
      </c>
      <c r="G46" s="636">
        <v>0</v>
      </c>
      <c r="H46" s="636">
        <v>0</v>
      </c>
      <c r="I46" s="636">
        <v>0</v>
      </c>
      <c r="J46" s="636">
        <v>0</v>
      </c>
      <c r="K46" s="636">
        <v>0</v>
      </c>
      <c r="L46" s="636">
        <v>0</v>
      </c>
      <c r="M46" s="636">
        <v>0</v>
      </c>
      <c r="N46" s="634">
        <f t="shared" si="2"/>
        <v>0</v>
      </c>
    </row>
    <row r="47" spans="1:15">
      <c r="A47" s="411" t="s">
        <v>214</v>
      </c>
      <c r="B47" s="607">
        <f t="shared" ref="B47:M47" si="3">SUM(B37:B46)</f>
        <v>247.98400000000004</v>
      </c>
      <c r="C47" s="607">
        <f t="shared" si="3"/>
        <v>111.544</v>
      </c>
      <c r="D47" s="607">
        <f t="shared" si="3"/>
        <v>289.18</v>
      </c>
      <c r="E47" s="607">
        <f t="shared" si="3"/>
        <v>34.147000000000006</v>
      </c>
      <c r="F47" s="607">
        <f t="shared" si="3"/>
        <v>0</v>
      </c>
      <c r="G47" s="607">
        <f t="shared" si="3"/>
        <v>0</v>
      </c>
      <c r="H47" s="607">
        <f t="shared" si="3"/>
        <v>0</v>
      </c>
      <c r="I47" s="607">
        <f t="shared" si="3"/>
        <v>0</v>
      </c>
      <c r="J47" s="607">
        <f t="shared" si="3"/>
        <v>0</v>
      </c>
      <c r="K47" s="607">
        <f t="shared" si="3"/>
        <v>0</v>
      </c>
      <c r="L47" s="607">
        <f t="shared" si="3"/>
        <v>0</v>
      </c>
      <c r="M47" s="607">
        <f t="shared" si="3"/>
        <v>0</v>
      </c>
      <c r="N47" s="638">
        <f>SUM(N37:N46)</f>
        <v>682.85500000000002</v>
      </c>
    </row>
    <row r="48" spans="1:15" ht="20.25" customHeight="1" thickBot="1">
      <c r="A48" s="225" t="s">
        <v>215</v>
      </c>
      <c r="B48" s="640">
        <f t="shared" ref="B48:M48" si="4">B47+B34</f>
        <v>763.25</v>
      </c>
      <c r="C48" s="608">
        <f t="shared" si="4"/>
        <v>989.27499999999998</v>
      </c>
      <c r="D48" s="608">
        <f t="shared" si="4"/>
        <v>1184.2329999999999</v>
      </c>
      <c r="E48" s="608">
        <f t="shared" si="4"/>
        <v>773.17500000000007</v>
      </c>
      <c r="F48" s="608">
        <f t="shared" si="4"/>
        <v>0</v>
      </c>
      <c r="G48" s="608">
        <f t="shared" si="4"/>
        <v>0</v>
      </c>
      <c r="H48" s="608">
        <f t="shared" si="4"/>
        <v>0</v>
      </c>
      <c r="I48" s="608">
        <f t="shared" si="4"/>
        <v>0</v>
      </c>
      <c r="J48" s="608">
        <f t="shared" si="4"/>
        <v>0</v>
      </c>
      <c r="K48" s="608">
        <f t="shared" si="4"/>
        <v>0</v>
      </c>
      <c r="L48" s="608">
        <f t="shared" si="4"/>
        <v>0</v>
      </c>
      <c r="M48" s="608">
        <f t="shared" si="4"/>
        <v>0</v>
      </c>
      <c r="N48" s="641">
        <f>N47+N34</f>
        <v>3709.9330000000004</v>
      </c>
    </row>
    <row r="49" spans="1:14" ht="16.5" customHeight="1">
      <c r="A49" s="226"/>
      <c r="B49" s="605"/>
      <c r="C49" s="605"/>
      <c r="D49" s="605"/>
      <c r="E49" s="605"/>
      <c r="F49" s="605"/>
      <c r="G49" s="605"/>
      <c r="H49" s="605"/>
      <c r="I49" s="605"/>
      <c r="J49" s="642"/>
      <c r="K49" s="605"/>
      <c r="L49" s="605"/>
      <c r="M49" s="605"/>
      <c r="N49" s="643"/>
    </row>
    <row r="50" spans="1:14" s="213" customFormat="1" ht="30.75" customHeight="1" thickBot="1">
      <c r="A50" s="563" t="s">
        <v>216</v>
      </c>
      <c r="B50" s="644">
        <f>B48+0.041</f>
        <v>763.29100000000005</v>
      </c>
      <c r="C50" s="644">
        <f>C48+0.105</f>
        <v>989.38</v>
      </c>
      <c r="D50" s="644">
        <f>D48+0.156</f>
        <v>1184.3889999999999</v>
      </c>
      <c r="E50" s="644">
        <f>E48+0.222</f>
        <v>773.39700000000005</v>
      </c>
      <c r="F50" s="644">
        <v>0</v>
      </c>
      <c r="G50" s="644">
        <v>0</v>
      </c>
      <c r="H50" s="644">
        <v>0</v>
      </c>
      <c r="I50" s="644">
        <v>0</v>
      </c>
      <c r="J50" s="644">
        <v>0</v>
      </c>
      <c r="K50" s="644">
        <v>0</v>
      </c>
      <c r="L50" s="644">
        <v>0</v>
      </c>
      <c r="M50" s="644">
        <v>0</v>
      </c>
      <c r="N50" s="645">
        <f>SUM(B50:M50)</f>
        <v>3710.4569999999999</v>
      </c>
    </row>
    <row r="51" spans="1:14" ht="12.75" customHeight="1">
      <c r="A51" s="251"/>
      <c r="B51" s="252"/>
      <c r="C51" s="252"/>
      <c r="D51" s="252"/>
      <c r="E51" s="252"/>
      <c r="F51" s="252"/>
      <c r="G51" s="252"/>
      <c r="H51" s="252"/>
      <c r="I51" s="252"/>
      <c r="J51" s="252"/>
      <c r="K51" s="252"/>
      <c r="L51" s="252"/>
      <c r="M51" s="252"/>
      <c r="N51" s="253"/>
    </row>
    <row r="52" spans="1:14" ht="12.75" customHeight="1">
      <c r="A52" s="418" t="s">
        <v>81</v>
      </c>
      <c r="B52" s="252"/>
      <c r="C52" s="252"/>
      <c r="D52" s="252"/>
      <c r="E52" s="252"/>
      <c r="F52" s="252"/>
      <c r="G52" s="252"/>
      <c r="H52" s="252"/>
      <c r="I52" s="252"/>
      <c r="J52" s="252"/>
      <c r="K52" s="252"/>
      <c r="L52" s="252"/>
      <c r="M52" s="252"/>
      <c r="N52" s="253"/>
    </row>
    <row r="53" spans="1:14" s="224" customFormat="1" ht="14.5">
      <c r="A53" s="597" t="s">
        <v>305</v>
      </c>
      <c r="G53" s="223"/>
      <c r="H53" s="223"/>
      <c r="J53" s="277"/>
    </row>
    <row r="54" spans="1:14" s="224" customFormat="1" ht="16.5" customHeight="1">
      <c r="A54" s="598" t="s">
        <v>306</v>
      </c>
      <c r="G54" s="223"/>
      <c r="H54" s="223"/>
      <c r="J54" s="277"/>
    </row>
    <row r="55" spans="1:14" s="224" customFormat="1" ht="16.5" customHeight="1">
      <c r="A55" s="598" t="s">
        <v>316</v>
      </c>
      <c r="G55" s="223"/>
      <c r="H55" s="223"/>
      <c r="J55" s="277"/>
    </row>
    <row r="56" spans="1:14" s="453" customFormat="1" ht="14">
      <c r="A56" s="313"/>
      <c r="J56" s="454"/>
    </row>
    <row r="57" spans="1:14" ht="14">
      <c r="A57" s="313"/>
      <c r="B57" s="130"/>
      <c r="C57" s="130"/>
      <c r="D57" s="130"/>
      <c r="E57" s="130"/>
      <c r="F57" s="130"/>
    </row>
    <row r="58" spans="1:14" s="213" customFormat="1" ht="14">
      <c r="A58" s="593"/>
      <c r="B58" s="197"/>
      <c r="C58" s="197"/>
      <c r="D58" s="197"/>
      <c r="E58" s="197"/>
      <c r="F58" s="197"/>
      <c r="J58" s="455"/>
    </row>
    <row r="59" spans="1:14" ht="14">
      <c r="A59" s="313"/>
    </row>
    <row r="60" spans="1:14" ht="14">
      <c r="A60" s="520"/>
    </row>
    <row r="61" spans="1:14" ht="14">
      <c r="A61" s="236" t="s">
        <v>64</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heetViews>
  <sheetFormatPr defaultColWidth="9.26953125" defaultRowHeight="12.5"/>
  <cols>
    <col min="1" max="1" width="39.36328125" style="16" customWidth="1"/>
    <col min="2" max="13" width="11" style="16" customWidth="1"/>
    <col min="14" max="14" width="15.7265625" style="16" bestFit="1" customWidth="1"/>
    <col min="15" max="15" width="9.7265625" style="16" bestFit="1" customWidth="1"/>
    <col min="16" max="16" width="9.26953125" style="16"/>
    <col min="17" max="17" width="22.26953125" style="16" customWidth="1"/>
    <col min="18" max="16384" width="9.26953125" style="16"/>
  </cols>
  <sheetData>
    <row r="2" spans="1:14" ht="13">
      <c r="E2" s="148" t="s">
        <v>39</v>
      </c>
    </row>
    <row r="3" spans="1:14" ht="13">
      <c r="C3" s="160"/>
      <c r="D3" s="160"/>
      <c r="E3" s="161" t="s">
        <v>217</v>
      </c>
      <c r="F3" s="160"/>
      <c r="G3" s="160"/>
    </row>
    <row r="4" spans="1:14" ht="13">
      <c r="A4" s="22"/>
      <c r="D4" s="160"/>
      <c r="E4" s="151" t="str">
        <f>'Program MW '!H3</f>
        <v>April 2021</v>
      </c>
      <c r="F4" s="160"/>
    </row>
    <row r="5" spans="1:14" ht="13">
      <c r="A5" s="412"/>
      <c r="E5" s="151"/>
    </row>
    <row r="6" spans="1:14" ht="13.5" thickBot="1">
      <c r="A6" s="22"/>
      <c r="E6" s="151"/>
    </row>
    <row r="7" spans="1:14" ht="32.25" customHeight="1">
      <c r="A7" s="23" t="s">
        <v>191</v>
      </c>
      <c r="B7" s="24" t="s">
        <v>41</v>
      </c>
      <c r="C7" s="24" t="s">
        <v>42</v>
      </c>
      <c r="D7" s="24" t="s">
        <v>43</v>
      </c>
      <c r="E7" s="24" t="s">
        <v>44</v>
      </c>
      <c r="F7" s="24" t="s">
        <v>31</v>
      </c>
      <c r="G7" s="24" t="s">
        <v>45</v>
      </c>
      <c r="H7" s="24" t="s">
        <v>59</v>
      </c>
      <c r="I7" s="24" t="s">
        <v>66</v>
      </c>
      <c r="J7" s="24" t="s">
        <v>67</v>
      </c>
      <c r="K7" s="24" t="s">
        <v>61</v>
      </c>
      <c r="L7" s="24" t="s">
        <v>68</v>
      </c>
      <c r="M7" s="24" t="s">
        <v>62</v>
      </c>
      <c r="N7" s="458" t="s">
        <v>218</v>
      </c>
    </row>
    <row r="8" spans="1:14" ht="16.5">
      <c r="A8" s="25" t="s">
        <v>219</v>
      </c>
      <c r="N8" s="319"/>
    </row>
    <row r="9" spans="1:14" ht="6" customHeight="1">
      <c r="A9" s="26"/>
      <c r="N9" s="319"/>
    </row>
    <row r="10" spans="1:14" ht="13">
      <c r="A10" s="26" t="s">
        <v>193</v>
      </c>
      <c r="N10" s="319"/>
    </row>
    <row r="11" spans="1:14" ht="14.25" customHeight="1">
      <c r="A11" s="27" t="s">
        <v>220</v>
      </c>
      <c r="B11" s="617">
        <v>2.012</v>
      </c>
      <c r="C11" s="617">
        <v>2.2959999999999998</v>
      </c>
      <c r="D11" s="617">
        <v>3.0379999999999998</v>
      </c>
      <c r="E11" s="617">
        <v>4.9740000000000002</v>
      </c>
      <c r="F11" s="617">
        <v>0</v>
      </c>
      <c r="G11" s="617">
        <v>0</v>
      </c>
      <c r="H11" s="617">
        <v>0</v>
      </c>
      <c r="I11" s="617">
        <v>0</v>
      </c>
      <c r="J11" s="617">
        <v>0</v>
      </c>
      <c r="K11" s="617">
        <v>0</v>
      </c>
      <c r="L11" s="617">
        <v>0</v>
      </c>
      <c r="M11" s="617">
        <v>0</v>
      </c>
      <c r="N11" s="613">
        <f>SUM(B11:M11)</f>
        <v>12.32</v>
      </c>
    </row>
    <row r="12" spans="1:14">
      <c r="A12" s="27" t="s">
        <v>93</v>
      </c>
      <c r="B12" s="617">
        <v>0</v>
      </c>
      <c r="C12" s="617">
        <v>0</v>
      </c>
      <c r="D12" s="617">
        <v>0</v>
      </c>
      <c r="E12" s="617">
        <v>0</v>
      </c>
      <c r="F12" s="617">
        <v>0</v>
      </c>
      <c r="G12" s="617">
        <v>0</v>
      </c>
      <c r="H12" s="617">
        <v>0</v>
      </c>
      <c r="I12" s="617">
        <v>0</v>
      </c>
      <c r="J12" s="617">
        <v>0</v>
      </c>
      <c r="K12" s="617">
        <v>0</v>
      </c>
      <c r="L12" s="617">
        <v>0</v>
      </c>
      <c r="M12" s="617">
        <v>0</v>
      </c>
      <c r="N12" s="613">
        <f>SUM(B12:M12)</f>
        <v>0</v>
      </c>
    </row>
    <row r="13" spans="1:14">
      <c r="A13" s="27" t="s">
        <v>221</v>
      </c>
      <c r="B13" s="617">
        <v>0</v>
      </c>
      <c r="C13" s="617">
        <v>0</v>
      </c>
      <c r="D13" s="617">
        <v>0</v>
      </c>
      <c r="E13" s="617">
        <v>0</v>
      </c>
      <c r="F13" s="617">
        <v>0</v>
      </c>
      <c r="G13" s="617">
        <v>0</v>
      </c>
      <c r="H13" s="617">
        <v>0</v>
      </c>
      <c r="I13" s="617">
        <v>0</v>
      </c>
      <c r="J13" s="617">
        <v>0</v>
      </c>
      <c r="K13" s="617">
        <v>0</v>
      </c>
      <c r="L13" s="617">
        <v>0</v>
      </c>
      <c r="M13" s="617">
        <v>0</v>
      </c>
      <c r="N13" s="613">
        <f>SUM(B13:M13)</f>
        <v>0</v>
      </c>
    </row>
    <row r="14" spans="1:14" ht="13">
      <c r="A14" s="20" t="s">
        <v>222</v>
      </c>
      <c r="B14" s="615">
        <f t="shared" ref="B14:M14" si="0">SUM(B11:B13)</f>
        <v>2.012</v>
      </c>
      <c r="C14" s="615">
        <f t="shared" si="0"/>
        <v>2.2959999999999998</v>
      </c>
      <c r="D14" s="615">
        <f t="shared" si="0"/>
        <v>3.0379999999999998</v>
      </c>
      <c r="E14" s="615">
        <f t="shared" si="0"/>
        <v>4.9740000000000002</v>
      </c>
      <c r="F14" s="615">
        <f t="shared" si="0"/>
        <v>0</v>
      </c>
      <c r="G14" s="615">
        <f t="shared" si="0"/>
        <v>0</v>
      </c>
      <c r="H14" s="615">
        <f t="shared" si="0"/>
        <v>0</v>
      </c>
      <c r="I14" s="615">
        <f t="shared" si="0"/>
        <v>0</v>
      </c>
      <c r="J14" s="615">
        <f t="shared" si="0"/>
        <v>0</v>
      </c>
      <c r="K14" s="615">
        <f t="shared" si="0"/>
        <v>0</v>
      </c>
      <c r="L14" s="615">
        <f t="shared" si="0"/>
        <v>0</v>
      </c>
      <c r="M14" s="615">
        <f t="shared" si="0"/>
        <v>0</v>
      </c>
      <c r="N14" s="616">
        <f>SUM(B14:M14)</f>
        <v>12.32</v>
      </c>
    </row>
    <row r="15" spans="1:14">
      <c r="A15" s="27"/>
      <c r="B15" s="617"/>
      <c r="C15" s="617"/>
      <c r="D15" s="617"/>
      <c r="E15" s="617"/>
      <c r="F15" s="617"/>
      <c r="G15" s="617"/>
      <c r="H15" s="617"/>
      <c r="I15" s="617"/>
      <c r="J15" s="617"/>
      <c r="K15" s="617"/>
      <c r="L15" s="617"/>
      <c r="M15" s="617"/>
      <c r="N15" s="613"/>
    </row>
    <row r="16" spans="1:14" ht="13">
      <c r="A16" s="26" t="s">
        <v>223</v>
      </c>
      <c r="B16" s="617"/>
      <c r="C16" s="617"/>
      <c r="D16" s="617"/>
      <c r="E16" s="617"/>
      <c r="F16" s="617"/>
      <c r="G16" s="617"/>
      <c r="H16" s="617"/>
      <c r="I16" s="617"/>
      <c r="J16" s="617"/>
      <c r="K16" s="617"/>
      <c r="L16" s="617"/>
      <c r="M16" s="617"/>
      <c r="N16" s="613"/>
    </row>
    <row r="17" spans="1:19" ht="15">
      <c r="A17" s="27" t="s">
        <v>224</v>
      </c>
      <c r="B17" s="617">
        <v>0</v>
      </c>
      <c r="C17" s="617">
        <v>0</v>
      </c>
      <c r="D17" s="617">
        <v>0</v>
      </c>
      <c r="E17" s="617">
        <v>0</v>
      </c>
      <c r="F17" s="617">
        <v>0</v>
      </c>
      <c r="G17" s="617">
        <v>0</v>
      </c>
      <c r="H17" s="618">
        <v>0</v>
      </c>
      <c r="I17" s="618">
        <v>0</v>
      </c>
      <c r="J17" s="618">
        <v>0</v>
      </c>
      <c r="K17" s="618">
        <v>0</v>
      </c>
      <c r="L17" s="618">
        <v>0</v>
      </c>
      <c r="M17" s="618">
        <v>0</v>
      </c>
      <c r="N17" s="613">
        <f>SUM(B17:M17)</f>
        <v>0</v>
      </c>
    </row>
    <row r="18" spans="1:19" ht="13">
      <c r="A18" s="20" t="s">
        <v>225</v>
      </c>
      <c r="B18" s="615">
        <f t="shared" ref="B18:M18" si="1">SUM(B17:B17)</f>
        <v>0</v>
      </c>
      <c r="C18" s="615">
        <f t="shared" si="1"/>
        <v>0</v>
      </c>
      <c r="D18" s="615">
        <f t="shared" si="1"/>
        <v>0</v>
      </c>
      <c r="E18" s="615">
        <f t="shared" si="1"/>
        <v>0</v>
      </c>
      <c r="F18" s="615">
        <f t="shared" si="1"/>
        <v>0</v>
      </c>
      <c r="G18" s="615">
        <f t="shared" si="1"/>
        <v>0</v>
      </c>
      <c r="H18" s="615">
        <f t="shared" si="1"/>
        <v>0</v>
      </c>
      <c r="I18" s="615">
        <f t="shared" si="1"/>
        <v>0</v>
      </c>
      <c r="J18" s="615">
        <f t="shared" si="1"/>
        <v>0</v>
      </c>
      <c r="K18" s="615">
        <f t="shared" si="1"/>
        <v>0</v>
      </c>
      <c r="L18" s="615">
        <f t="shared" si="1"/>
        <v>0</v>
      </c>
      <c r="M18" s="615">
        <f t="shared" si="1"/>
        <v>0</v>
      </c>
      <c r="N18" s="616">
        <f>SUM(B18:M18)</f>
        <v>0</v>
      </c>
    </row>
    <row r="19" spans="1:19" ht="13">
      <c r="A19" s="29"/>
      <c r="B19" s="617"/>
      <c r="C19" s="617"/>
      <c r="D19" s="617"/>
      <c r="E19" s="617"/>
      <c r="F19" s="617"/>
      <c r="G19" s="617"/>
      <c r="H19" s="617"/>
      <c r="I19" s="617"/>
      <c r="J19" s="617"/>
      <c r="K19" s="617"/>
      <c r="L19" s="617"/>
      <c r="M19" s="617"/>
      <c r="N19" s="613"/>
    </row>
    <row r="20" spans="1:19" ht="13">
      <c r="A20" s="26" t="s">
        <v>226</v>
      </c>
      <c r="B20" s="617" t="s">
        <v>56</v>
      </c>
      <c r="C20" s="617" t="s">
        <v>56</v>
      </c>
      <c r="D20" s="617" t="s">
        <v>56</v>
      </c>
      <c r="E20" s="617"/>
      <c r="F20" s="617" t="s">
        <v>56</v>
      </c>
      <c r="G20" s="617"/>
      <c r="H20" s="617" t="s">
        <v>56</v>
      </c>
      <c r="I20" s="617" t="s">
        <v>56</v>
      </c>
      <c r="J20" s="617" t="s">
        <v>56</v>
      </c>
      <c r="K20" s="617" t="s">
        <v>56</v>
      </c>
      <c r="L20" s="617" t="s">
        <v>56</v>
      </c>
      <c r="M20" s="617" t="s">
        <v>56</v>
      </c>
      <c r="N20" s="613" t="s">
        <v>56</v>
      </c>
    </row>
    <row r="21" spans="1:19">
      <c r="A21" s="27" t="s">
        <v>227</v>
      </c>
      <c r="B21" s="617">
        <v>0</v>
      </c>
      <c r="C21" s="617">
        <v>0</v>
      </c>
      <c r="D21" s="617">
        <v>0</v>
      </c>
      <c r="E21" s="617">
        <v>0</v>
      </c>
      <c r="F21" s="617">
        <v>0</v>
      </c>
      <c r="G21" s="617">
        <v>0</v>
      </c>
      <c r="H21" s="618">
        <v>0</v>
      </c>
      <c r="I21" s="618">
        <v>0</v>
      </c>
      <c r="J21" s="618">
        <v>0</v>
      </c>
      <c r="K21" s="618">
        <v>0</v>
      </c>
      <c r="L21" s="618">
        <v>0</v>
      </c>
      <c r="M21" s="618">
        <v>0</v>
      </c>
      <c r="N21" s="613">
        <f>SUM(B21:M21)</f>
        <v>0</v>
      </c>
    </row>
    <row r="22" spans="1:19" ht="13">
      <c r="A22" s="207" t="s">
        <v>228</v>
      </c>
      <c r="B22" s="615">
        <f t="shared" ref="B22:M22" si="2">SUM(B21:B21)</f>
        <v>0</v>
      </c>
      <c r="C22" s="615">
        <f t="shared" si="2"/>
        <v>0</v>
      </c>
      <c r="D22" s="615">
        <f t="shared" si="2"/>
        <v>0</v>
      </c>
      <c r="E22" s="615">
        <f t="shared" si="2"/>
        <v>0</v>
      </c>
      <c r="F22" s="615">
        <f t="shared" si="2"/>
        <v>0</v>
      </c>
      <c r="G22" s="615">
        <f t="shared" si="2"/>
        <v>0</v>
      </c>
      <c r="H22" s="615">
        <f t="shared" si="2"/>
        <v>0</v>
      </c>
      <c r="I22" s="615">
        <f t="shared" si="2"/>
        <v>0</v>
      </c>
      <c r="J22" s="615">
        <f t="shared" si="2"/>
        <v>0</v>
      </c>
      <c r="K22" s="615">
        <f t="shared" si="2"/>
        <v>0</v>
      </c>
      <c r="L22" s="615">
        <f t="shared" si="2"/>
        <v>0</v>
      </c>
      <c r="M22" s="615">
        <f t="shared" si="2"/>
        <v>0</v>
      </c>
      <c r="N22" s="616">
        <f>SUM(B22:M22)</f>
        <v>0</v>
      </c>
    </row>
    <row r="23" spans="1:19" ht="13">
      <c r="A23" s="31"/>
      <c r="B23" s="617"/>
      <c r="C23" s="617"/>
      <c r="D23" s="617"/>
      <c r="E23" s="617"/>
      <c r="F23" s="617"/>
      <c r="G23" s="620"/>
      <c r="H23" s="617"/>
      <c r="I23" s="620"/>
      <c r="J23" s="617"/>
      <c r="K23" s="617"/>
      <c r="L23" s="620"/>
      <c r="M23" s="617"/>
      <c r="N23" s="613"/>
    </row>
    <row r="24" spans="1:19" ht="13">
      <c r="A24" s="32" t="s">
        <v>208</v>
      </c>
      <c r="B24" s="617"/>
      <c r="C24" s="617"/>
      <c r="D24" s="617"/>
      <c r="E24" s="617"/>
      <c r="F24" s="617"/>
      <c r="G24" s="617"/>
      <c r="H24" s="617"/>
      <c r="I24" s="617"/>
      <c r="J24" s="617"/>
      <c r="K24" s="617"/>
      <c r="L24" s="617"/>
      <c r="M24" s="617"/>
      <c r="N24" s="613"/>
    </row>
    <row r="25" spans="1:19">
      <c r="A25" s="27" t="s">
        <v>92</v>
      </c>
      <c r="B25" s="617">
        <v>0</v>
      </c>
      <c r="C25" s="617">
        <v>0</v>
      </c>
      <c r="D25" s="617">
        <v>0</v>
      </c>
      <c r="E25" s="617">
        <v>0</v>
      </c>
      <c r="F25" s="617">
        <v>0</v>
      </c>
      <c r="G25" s="617">
        <v>0</v>
      </c>
      <c r="H25" s="618">
        <v>0</v>
      </c>
      <c r="I25" s="618">
        <v>0</v>
      </c>
      <c r="J25" s="618">
        <v>0</v>
      </c>
      <c r="K25" s="618">
        <v>0</v>
      </c>
      <c r="L25" s="618">
        <v>0</v>
      </c>
      <c r="M25" s="618">
        <v>0</v>
      </c>
      <c r="N25" s="613">
        <f>SUM(B25:M25)</f>
        <v>0</v>
      </c>
    </row>
    <row r="26" spans="1:19">
      <c r="A26" s="27" t="s">
        <v>93</v>
      </c>
      <c r="B26" s="617">
        <v>0</v>
      </c>
      <c r="C26" s="617">
        <v>0</v>
      </c>
      <c r="D26" s="617">
        <v>0</v>
      </c>
      <c r="E26" s="617">
        <v>0</v>
      </c>
      <c r="F26" s="617">
        <v>0</v>
      </c>
      <c r="G26" s="617">
        <v>0</v>
      </c>
      <c r="H26" s="618">
        <v>0</v>
      </c>
      <c r="I26" s="618">
        <v>0</v>
      </c>
      <c r="J26" s="618">
        <v>0</v>
      </c>
      <c r="K26" s="618">
        <v>0</v>
      </c>
      <c r="L26" s="618">
        <v>0</v>
      </c>
      <c r="M26" s="618">
        <v>0</v>
      </c>
      <c r="N26" s="613">
        <f>SUM(B26:M26)</f>
        <v>0</v>
      </c>
    </row>
    <row r="27" spans="1:19">
      <c r="A27" s="27" t="s">
        <v>221</v>
      </c>
      <c r="B27" s="617">
        <v>0</v>
      </c>
      <c r="C27" s="617">
        <v>0</v>
      </c>
      <c r="D27" s="617">
        <v>0</v>
      </c>
      <c r="E27" s="617">
        <v>0</v>
      </c>
      <c r="F27" s="617">
        <v>0</v>
      </c>
      <c r="G27" s="617">
        <v>0</v>
      </c>
      <c r="H27" s="618">
        <v>0</v>
      </c>
      <c r="I27" s="618">
        <v>0</v>
      </c>
      <c r="J27" s="618">
        <v>0</v>
      </c>
      <c r="K27" s="618">
        <v>0</v>
      </c>
      <c r="L27" s="618">
        <v>0</v>
      </c>
      <c r="M27" s="621">
        <v>0</v>
      </c>
      <c r="N27" s="613">
        <f>SUM(B27:M27)</f>
        <v>0</v>
      </c>
    </row>
    <row r="28" spans="1:19" ht="13">
      <c r="A28" s="33" t="s">
        <v>214</v>
      </c>
      <c r="B28" s="615">
        <f t="shared" ref="B28:H28" si="3">SUM(B25:B27)</f>
        <v>0</v>
      </c>
      <c r="C28" s="615">
        <f t="shared" si="3"/>
        <v>0</v>
      </c>
      <c r="D28" s="615">
        <f t="shared" si="3"/>
        <v>0</v>
      </c>
      <c r="E28" s="615">
        <f t="shared" si="3"/>
        <v>0</v>
      </c>
      <c r="F28" s="615">
        <f t="shared" si="3"/>
        <v>0</v>
      </c>
      <c r="G28" s="615">
        <f t="shared" si="3"/>
        <v>0</v>
      </c>
      <c r="H28" s="615">
        <f t="shared" si="3"/>
        <v>0</v>
      </c>
      <c r="I28" s="615">
        <f>SUM(I24:I27)</f>
        <v>0</v>
      </c>
      <c r="J28" s="615">
        <f>SUM(J25:J27)</f>
        <v>0</v>
      </c>
      <c r="K28" s="615">
        <f>SUM(K25:K27)</f>
        <v>0</v>
      </c>
      <c r="L28" s="615">
        <f>SUM(L25:L27)</f>
        <v>0</v>
      </c>
      <c r="M28" s="615">
        <f>SUM(M25:M27)</f>
        <v>0</v>
      </c>
      <c r="N28" s="616">
        <f>SUM(B28:M28)</f>
        <v>0</v>
      </c>
      <c r="O28" s="28"/>
    </row>
    <row r="29" spans="1:19" ht="10.5" customHeight="1">
      <c r="A29" s="34"/>
      <c r="B29" s="620"/>
      <c r="C29" s="620"/>
      <c r="D29" s="620"/>
      <c r="E29" s="620"/>
      <c r="F29" s="620"/>
      <c r="G29" s="620"/>
      <c r="H29" s="620"/>
      <c r="I29" s="620"/>
      <c r="J29" s="620"/>
      <c r="K29" s="620"/>
      <c r="L29" s="620"/>
      <c r="M29" s="620"/>
      <c r="N29" s="623"/>
    </row>
    <row r="30" spans="1:19" ht="15" customHeight="1">
      <c r="A30" s="20" t="s">
        <v>229</v>
      </c>
      <c r="B30" s="625">
        <v>0</v>
      </c>
      <c r="C30" s="625">
        <v>0</v>
      </c>
      <c r="D30" s="625">
        <v>0</v>
      </c>
      <c r="E30" s="625">
        <v>0</v>
      </c>
      <c r="F30" s="625">
        <v>0</v>
      </c>
      <c r="G30" s="625">
        <v>0</v>
      </c>
      <c r="H30" s="625">
        <v>0</v>
      </c>
      <c r="I30" s="625">
        <v>0</v>
      </c>
      <c r="J30" s="615">
        <v>0</v>
      </c>
      <c r="K30" s="615">
        <v>0</v>
      </c>
      <c r="L30" s="625">
        <v>0</v>
      </c>
      <c r="M30" s="625">
        <v>0</v>
      </c>
      <c r="N30" s="626">
        <f>SUM(B30:M30)</f>
        <v>0</v>
      </c>
      <c r="O30" s="30"/>
      <c r="P30" s="30"/>
      <c r="Q30" s="30"/>
      <c r="R30" s="30"/>
      <c r="S30" s="35"/>
    </row>
    <row r="31" spans="1:19" ht="28.5" customHeight="1" thickBot="1">
      <c r="A31" s="21" t="s">
        <v>230</v>
      </c>
      <c r="B31" s="627">
        <f t="shared" ref="B31:M31" si="4">B14+B18+B22+B28+B30</f>
        <v>2.012</v>
      </c>
      <c r="C31" s="627">
        <f t="shared" si="4"/>
        <v>2.2959999999999998</v>
      </c>
      <c r="D31" s="627">
        <f t="shared" si="4"/>
        <v>3.0379999999999998</v>
      </c>
      <c r="E31" s="627">
        <f t="shared" si="4"/>
        <v>4.9740000000000002</v>
      </c>
      <c r="F31" s="627">
        <f t="shared" si="4"/>
        <v>0</v>
      </c>
      <c r="G31" s="627">
        <f t="shared" si="4"/>
        <v>0</v>
      </c>
      <c r="H31" s="627">
        <f t="shared" si="4"/>
        <v>0</v>
      </c>
      <c r="I31" s="627">
        <f t="shared" si="4"/>
        <v>0</v>
      </c>
      <c r="J31" s="627">
        <f t="shared" si="4"/>
        <v>0</v>
      </c>
      <c r="K31" s="627">
        <f t="shared" si="4"/>
        <v>0</v>
      </c>
      <c r="L31" s="627">
        <f t="shared" si="4"/>
        <v>0</v>
      </c>
      <c r="M31" s="627">
        <f t="shared" si="4"/>
        <v>0</v>
      </c>
      <c r="N31" s="628">
        <f>SUM(B31:M31)</f>
        <v>12.32</v>
      </c>
      <c r="O31" s="28"/>
    </row>
    <row r="32" spans="1:19" ht="12" customHeight="1">
      <c r="A32" s="36"/>
      <c r="B32" s="37"/>
      <c r="C32" s="37"/>
      <c r="D32" s="237"/>
      <c r="E32" s="37"/>
      <c r="F32" s="37"/>
      <c r="G32" s="37"/>
      <c r="H32" s="37"/>
      <c r="I32" s="237"/>
      <c r="J32" s="237"/>
      <c r="K32" s="237"/>
      <c r="L32" s="237"/>
      <c r="M32" s="237"/>
      <c r="N32" s="37"/>
    </row>
    <row r="33" spans="1:14" ht="14">
      <c r="A33" s="442"/>
    </row>
    <row r="34" spans="1:14" ht="12" customHeight="1">
      <c r="A34" s="236" t="s">
        <v>64</v>
      </c>
      <c r="B34" s="28"/>
      <c r="C34" s="28"/>
      <c r="D34" s="28"/>
      <c r="E34" s="28"/>
      <c r="F34" s="28"/>
      <c r="G34" s="28"/>
      <c r="H34" s="28"/>
      <c r="I34" s="28"/>
      <c r="J34" s="28"/>
      <c r="K34" s="28"/>
      <c r="L34" s="28"/>
      <c r="M34" s="28"/>
      <c r="N34" s="28"/>
    </row>
    <row r="35" spans="1:14" ht="14.25" customHeight="1">
      <c r="A35" s="705"/>
      <c r="B35" s="705"/>
      <c r="C35" s="705"/>
      <c r="D35" s="705"/>
      <c r="E35" s="705"/>
      <c r="F35" s="705"/>
      <c r="G35" s="705"/>
      <c r="H35" s="705"/>
      <c r="I35" s="705"/>
      <c r="J35" s="705"/>
      <c r="K35" s="705"/>
      <c r="L35" s="705"/>
      <c r="M35" s="705"/>
      <c r="N35" s="705"/>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46"/>
  <sheetViews>
    <sheetView showGridLines="0" zoomScaleNormal="100" zoomScaleSheetLayoutView="75" workbookViewId="0"/>
  </sheetViews>
  <sheetFormatPr defaultColWidth="9.26953125" defaultRowHeight="12.5"/>
  <cols>
    <col min="1" max="1" width="55.26953125" style="16" customWidth="1"/>
    <col min="2" max="13" width="11.6328125" style="16" customWidth="1"/>
    <col min="14" max="14" width="15.7265625" style="16" bestFit="1" customWidth="1"/>
    <col min="15" max="15" width="9.7265625" style="16" bestFit="1" customWidth="1"/>
    <col min="16" max="16" width="22.7265625" style="16" bestFit="1" customWidth="1"/>
    <col min="17" max="17" width="22.26953125" style="16" customWidth="1"/>
    <col min="18" max="16384" width="9.26953125" style="16"/>
  </cols>
  <sheetData>
    <row r="1" spans="1:16" ht="14.5">
      <c r="A1" s="516"/>
    </row>
    <row r="3" spans="1:16" ht="13">
      <c r="E3" s="148" t="s">
        <v>39</v>
      </c>
    </row>
    <row r="4" spans="1:16" ht="13">
      <c r="C4" s="160"/>
      <c r="D4" s="160"/>
      <c r="E4" s="161" t="s">
        <v>231</v>
      </c>
      <c r="F4" s="160"/>
      <c r="G4" s="160"/>
    </row>
    <row r="5" spans="1:16" ht="13">
      <c r="D5" s="160"/>
      <c r="E5" s="151" t="str">
        <f>'Program MW '!H3</f>
        <v>April 2021</v>
      </c>
      <c r="F5" s="160"/>
    </row>
    <row r="6" spans="1:16" ht="13">
      <c r="E6" s="151"/>
    </row>
    <row r="7" spans="1:16" ht="13.5" thickBot="1">
      <c r="A7" s="22"/>
    </row>
    <row r="8" spans="1:16" ht="32.25" customHeight="1" thickBot="1">
      <c r="A8" s="360" t="s">
        <v>191</v>
      </c>
      <c r="B8" s="24" t="s">
        <v>41</v>
      </c>
      <c r="C8" s="24" t="s">
        <v>42</v>
      </c>
      <c r="D8" s="24" t="s">
        <v>43</v>
      </c>
      <c r="E8" s="24" t="s">
        <v>44</v>
      </c>
      <c r="F8" s="24" t="s">
        <v>31</v>
      </c>
      <c r="G8" s="24" t="s">
        <v>45</v>
      </c>
      <c r="H8" s="24" t="s">
        <v>59</v>
      </c>
      <c r="I8" s="24" t="s">
        <v>66</v>
      </c>
      <c r="J8" s="24" t="s">
        <v>67</v>
      </c>
      <c r="K8" s="24" t="s">
        <v>61</v>
      </c>
      <c r="L8" s="24" t="s">
        <v>68</v>
      </c>
      <c r="M8" s="24" t="s">
        <v>62</v>
      </c>
      <c r="N8" s="458" t="s">
        <v>218</v>
      </c>
    </row>
    <row r="9" spans="1:16" ht="26">
      <c r="A9" s="361" t="s">
        <v>232</v>
      </c>
      <c r="B9" s="445"/>
      <c r="C9" s="238"/>
      <c r="M9" s="359"/>
      <c r="N9" s="459"/>
      <c r="P9" s="359"/>
    </row>
    <row r="10" spans="1:16" ht="6" customHeight="1">
      <c r="A10" s="317"/>
      <c r="B10" s="445"/>
      <c r="C10" s="238"/>
      <c r="M10" s="359"/>
      <c r="N10" s="319"/>
    </row>
    <row r="11" spans="1:16" ht="13">
      <c r="A11" s="317" t="s">
        <v>193</v>
      </c>
      <c r="B11" s="445"/>
      <c r="C11" s="238"/>
      <c r="M11" s="359"/>
      <c r="N11" s="319"/>
    </row>
    <row r="12" spans="1:16" ht="13">
      <c r="A12" s="318" t="s">
        <v>277</v>
      </c>
      <c r="B12" s="612">
        <v>0</v>
      </c>
      <c r="C12" s="612">
        <v>0</v>
      </c>
      <c r="D12" s="612">
        <v>0</v>
      </c>
      <c r="E12" s="612">
        <v>0</v>
      </c>
      <c r="F12" s="612">
        <v>0</v>
      </c>
      <c r="G12" s="612">
        <v>0</v>
      </c>
      <c r="H12" s="612">
        <v>0</v>
      </c>
      <c r="I12" s="612">
        <v>0</v>
      </c>
      <c r="J12" s="612">
        <v>0</v>
      </c>
      <c r="K12" s="612">
        <v>0</v>
      </c>
      <c r="L12" s="612">
        <v>0</v>
      </c>
      <c r="M12" s="612">
        <v>0</v>
      </c>
      <c r="N12" s="613">
        <f t="shared" ref="N12:N17" si="0">SUM(B12:M12)</f>
        <v>0</v>
      </c>
    </row>
    <row r="13" spans="1:16" ht="15">
      <c r="A13" s="318" t="s">
        <v>233</v>
      </c>
      <c r="B13" s="612">
        <v>32.534999999999997</v>
      </c>
      <c r="C13" s="612">
        <v>51.664999999999999</v>
      </c>
      <c r="D13" s="612">
        <f>121.347-C13-B13</f>
        <v>37.146999999999991</v>
      </c>
      <c r="E13" s="612">
        <v>27.42</v>
      </c>
      <c r="F13" s="612">
        <v>0</v>
      </c>
      <c r="G13" s="612">
        <v>0</v>
      </c>
      <c r="H13" s="612">
        <v>0</v>
      </c>
      <c r="I13" s="612">
        <v>0</v>
      </c>
      <c r="J13" s="612">
        <v>0</v>
      </c>
      <c r="K13" s="612">
        <v>0</v>
      </c>
      <c r="L13" s="612">
        <v>0</v>
      </c>
      <c r="M13" s="612">
        <v>0</v>
      </c>
      <c r="N13" s="613">
        <f t="shared" si="0"/>
        <v>148.767</v>
      </c>
    </row>
    <row r="14" spans="1:16" ht="15">
      <c r="A14" s="318" t="s">
        <v>285</v>
      </c>
      <c r="B14" s="612">
        <v>-9.125</v>
      </c>
      <c r="C14" s="612">
        <v>3.0419999999999998</v>
      </c>
      <c r="D14" s="612">
        <v>0</v>
      </c>
      <c r="E14" s="612">
        <v>0</v>
      </c>
      <c r="F14" s="612">
        <v>0</v>
      </c>
      <c r="G14" s="612">
        <v>0</v>
      </c>
      <c r="H14" s="612">
        <v>0</v>
      </c>
      <c r="I14" s="612">
        <v>0</v>
      </c>
      <c r="J14" s="612">
        <v>0</v>
      </c>
      <c r="K14" s="612">
        <v>0</v>
      </c>
      <c r="L14" s="612">
        <v>0</v>
      </c>
      <c r="M14" s="612">
        <v>0</v>
      </c>
      <c r="N14" s="613">
        <f t="shared" si="0"/>
        <v>-6.0830000000000002</v>
      </c>
    </row>
    <row r="15" spans="1:16" ht="15">
      <c r="A15" s="318" t="s">
        <v>234</v>
      </c>
      <c r="B15" s="612">
        <v>0</v>
      </c>
      <c r="C15" s="612">
        <v>0</v>
      </c>
      <c r="D15" s="612">
        <v>0</v>
      </c>
      <c r="E15" s="612">
        <v>0</v>
      </c>
      <c r="F15" s="612">
        <v>0</v>
      </c>
      <c r="G15" s="612">
        <v>0</v>
      </c>
      <c r="H15" s="612">
        <v>0</v>
      </c>
      <c r="I15" s="612">
        <v>0</v>
      </c>
      <c r="J15" s="612">
        <v>0</v>
      </c>
      <c r="K15" s="612">
        <v>0</v>
      </c>
      <c r="L15" s="612">
        <v>0</v>
      </c>
      <c r="M15" s="612">
        <v>0</v>
      </c>
      <c r="N15" s="613">
        <f t="shared" si="0"/>
        <v>0</v>
      </c>
    </row>
    <row r="16" spans="1:16" ht="15">
      <c r="A16" s="362" t="s">
        <v>235</v>
      </c>
      <c r="B16" s="612">
        <v>1.7729999999999999</v>
      </c>
      <c r="C16" s="612">
        <v>0.46500000000000002</v>
      </c>
      <c r="D16" s="612">
        <f>3.243-C16-B16</f>
        <v>1.0050000000000001</v>
      </c>
      <c r="E16" s="612">
        <v>22.388000000000002</v>
      </c>
      <c r="F16" s="612">
        <v>0</v>
      </c>
      <c r="G16" s="612">
        <v>0</v>
      </c>
      <c r="H16" s="612">
        <v>0</v>
      </c>
      <c r="I16" s="612">
        <v>0</v>
      </c>
      <c r="J16" s="612">
        <v>0</v>
      </c>
      <c r="K16" s="612">
        <v>0</v>
      </c>
      <c r="L16" s="612">
        <v>0</v>
      </c>
      <c r="M16" s="612">
        <v>0</v>
      </c>
      <c r="N16" s="613">
        <f t="shared" si="0"/>
        <v>25.631</v>
      </c>
      <c r="O16" s="28"/>
    </row>
    <row r="17" spans="1:16" ht="13">
      <c r="A17" s="587" t="s">
        <v>222</v>
      </c>
      <c r="B17" s="614">
        <f t="shared" ref="B17:M17" si="1">SUM(B12:B16)</f>
        <v>25.182999999999996</v>
      </c>
      <c r="C17" s="615">
        <f t="shared" si="1"/>
        <v>55.172000000000004</v>
      </c>
      <c r="D17" s="615">
        <f t="shared" si="1"/>
        <v>38.151999999999994</v>
      </c>
      <c r="E17" s="615">
        <f t="shared" si="1"/>
        <v>49.808000000000007</v>
      </c>
      <c r="F17" s="615">
        <f t="shared" si="1"/>
        <v>0</v>
      </c>
      <c r="G17" s="615">
        <f t="shared" si="1"/>
        <v>0</v>
      </c>
      <c r="H17" s="615">
        <f t="shared" si="1"/>
        <v>0</v>
      </c>
      <c r="I17" s="615">
        <f t="shared" si="1"/>
        <v>0</v>
      </c>
      <c r="J17" s="615">
        <f t="shared" si="1"/>
        <v>0</v>
      </c>
      <c r="K17" s="615">
        <f t="shared" si="1"/>
        <v>0</v>
      </c>
      <c r="L17" s="615">
        <f t="shared" si="1"/>
        <v>0</v>
      </c>
      <c r="M17" s="615">
        <f t="shared" si="1"/>
        <v>0</v>
      </c>
      <c r="N17" s="616">
        <f t="shared" si="0"/>
        <v>168.315</v>
      </c>
    </row>
    <row r="18" spans="1:16">
      <c r="A18" s="319"/>
      <c r="B18" s="612"/>
      <c r="C18" s="617"/>
      <c r="D18" s="617"/>
      <c r="E18" s="617"/>
      <c r="F18" s="617"/>
      <c r="G18" s="617"/>
      <c r="H18" s="617"/>
      <c r="I18" s="617"/>
      <c r="J18" s="617" t="s">
        <v>56</v>
      </c>
      <c r="K18" s="617"/>
      <c r="L18" s="617"/>
      <c r="M18" s="612"/>
      <c r="N18" s="613"/>
      <c r="P18" s="355"/>
    </row>
    <row r="19" spans="1:16" ht="13">
      <c r="A19" s="317" t="s">
        <v>236</v>
      </c>
      <c r="B19" s="612"/>
      <c r="C19" s="617"/>
      <c r="D19" s="617"/>
      <c r="E19" s="617"/>
      <c r="F19" s="617"/>
      <c r="G19" s="617"/>
      <c r="H19" s="617"/>
      <c r="I19" s="617"/>
      <c r="J19" s="617"/>
      <c r="K19" s="617"/>
      <c r="L19" s="617"/>
      <c r="M19" s="612"/>
      <c r="N19" s="613"/>
      <c r="P19" s="355"/>
    </row>
    <row r="20" spans="1:16" ht="13">
      <c r="A20" s="318" t="s">
        <v>237</v>
      </c>
      <c r="B20" s="612">
        <v>43.359000000000002</v>
      </c>
      <c r="C20" s="617">
        <v>43.359000000000002</v>
      </c>
      <c r="D20" s="617">
        <v>43.359000000000002</v>
      </c>
      <c r="E20" s="617">
        <v>43.359000000000002</v>
      </c>
      <c r="F20" s="617">
        <v>0</v>
      </c>
      <c r="G20" s="617">
        <v>0</v>
      </c>
      <c r="H20" s="617">
        <v>0</v>
      </c>
      <c r="I20" s="617">
        <v>0</v>
      </c>
      <c r="J20" s="617">
        <v>0</v>
      </c>
      <c r="K20" s="617">
        <v>0</v>
      </c>
      <c r="L20" s="617">
        <v>0</v>
      </c>
      <c r="M20" s="612">
        <v>0</v>
      </c>
      <c r="N20" s="613">
        <f>SUM(B20:M20)</f>
        <v>173.43600000000001</v>
      </c>
      <c r="P20" s="355"/>
    </row>
    <row r="21" spans="1:16" ht="13">
      <c r="A21" s="318" t="s">
        <v>238</v>
      </c>
      <c r="B21" s="612">
        <v>18.228999999999999</v>
      </c>
      <c r="C21" s="617">
        <v>11.869</v>
      </c>
      <c r="D21" s="617">
        <v>21.67</v>
      </c>
      <c r="E21" s="617">
        <v>18.100000000000001</v>
      </c>
      <c r="F21" s="617">
        <v>0</v>
      </c>
      <c r="G21" s="617">
        <v>0</v>
      </c>
      <c r="H21" s="617">
        <v>0</v>
      </c>
      <c r="I21" s="617">
        <v>0</v>
      </c>
      <c r="J21" s="617">
        <v>0</v>
      </c>
      <c r="K21" s="617">
        <v>0</v>
      </c>
      <c r="L21" s="617">
        <v>0</v>
      </c>
      <c r="M21" s="612">
        <v>0</v>
      </c>
      <c r="N21" s="613">
        <f t="shared" ref="N21:N22" si="2">SUM(B21:M21)</f>
        <v>69.867999999999995</v>
      </c>
      <c r="P21" s="355"/>
    </row>
    <row r="22" spans="1:16" ht="13">
      <c r="A22" s="318" t="s">
        <v>239</v>
      </c>
      <c r="B22" s="612">
        <v>1.7729999999999999</v>
      </c>
      <c r="C22" s="617">
        <v>1.7729999999999999</v>
      </c>
      <c r="D22" s="617">
        <v>1.7729999999999999</v>
      </c>
      <c r="E22" s="617">
        <v>1.7729999999999999</v>
      </c>
      <c r="F22" s="617">
        <v>0</v>
      </c>
      <c r="G22" s="617">
        <v>0</v>
      </c>
      <c r="H22" s="617">
        <v>0</v>
      </c>
      <c r="I22" s="617">
        <v>0</v>
      </c>
      <c r="J22" s="617">
        <v>0</v>
      </c>
      <c r="K22" s="617">
        <v>0</v>
      </c>
      <c r="L22" s="617">
        <v>0</v>
      </c>
      <c r="M22" s="612">
        <v>0</v>
      </c>
      <c r="N22" s="613">
        <f t="shared" si="2"/>
        <v>7.0919999999999996</v>
      </c>
      <c r="P22" s="355"/>
    </row>
    <row r="23" spans="1:16" ht="13">
      <c r="A23" s="320" t="s">
        <v>240</v>
      </c>
      <c r="B23" s="612">
        <v>5.0369999999999999</v>
      </c>
      <c r="C23" s="617">
        <v>4.7649999999999997</v>
      </c>
      <c r="D23" s="617">
        <v>4.492</v>
      </c>
      <c r="E23" s="617">
        <v>4.2190000000000003</v>
      </c>
      <c r="F23" s="617">
        <v>0</v>
      </c>
      <c r="G23" s="617">
        <v>0</v>
      </c>
      <c r="H23" s="617">
        <v>0</v>
      </c>
      <c r="I23" s="617">
        <v>0</v>
      </c>
      <c r="J23" s="617">
        <v>0</v>
      </c>
      <c r="K23" s="617">
        <v>0</v>
      </c>
      <c r="L23" s="617">
        <v>0</v>
      </c>
      <c r="M23" s="612">
        <v>0</v>
      </c>
      <c r="N23" s="613">
        <f>SUM(B23:M23)</f>
        <v>18.513000000000002</v>
      </c>
      <c r="P23" s="355"/>
    </row>
    <row r="24" spans="1:16" ht="13">
      <c r="A24" s="588" t="s">
        <v>225</v>
      </c>
      <c r="B24" s="614">
        <f>SUM(B20:B23)</f>
        <v>68.39800000000001</v>
      </c>
      <c r="C24" s="615">
        <f t="shared" ref="C24:M24" si="3">SUM(C20:C23)</f>
        <v>61.766000000000005</v>
      </c>
      <c r="D24" s="615">
        <f t="shared" si="3"/>
        <v>71.293999999999997</v>
      </c>
      <c r="E24" s="615">
        <f t="shared" si="3"/>
        <v>67.451000000000008</v>
      </c>
      <c r="F24" s="615">
        <f t="shared" si="3"/>
        <v>0</v>
      </c>
      <c r="G24" s="615">
        <f t="shared" si="3"/>
        <v>0</v>
      </c>
      <c r="H24" s="615">
        <f t="shared" si="3"/>
        <v>0</v>
      </c>
      <c r="I24" s="615">
        <f t="shared" si="3"/>
        <v>0</v>
      </c>
      <c r="J24" s="615">
        <f t="shared" si="3"/>
        <v>0</v>
      </c>
      <c r="K24" s="615">
        <f t="shared" si="3"/>
        <v>0</v>
      </c>
      <c r="L24" s="615">
        <f t="shared" si="3"/>
        <v>0</v>
      </c>
      <c r="M24" s="615">
        <f t="shared" si="3"/>
        <v>0</v>
      </c>
      <c r="N24" s="616">
        <f>SUM(B24:M24)</f>
        <v>268.90900000000005</v>
      </c>
      <c r="P24" s="355"/>
    </row>
    <row r="25" spans="1:16" ht="13">
      <c r="A25" s="320"/>
      <c r="B25" s="612"/>
      <c r="C25" s="617"/>
      <c r="D25" s="617"/>
      <c r="E25" s="617"/>
      <c r="F25" s="617"/>
      <c r="G25" s="617"/>
      <c r="H25" s="617"/>
      <c r="I25" s="617"/>
      <c r="J25" s="617"/>
      <c r="K25" s="617"/>
      <c r="L25" s="617"/>
      <c r="M25" s="612"/>
      <c r="N25" s="613"/>
      <c r="P25" s="355"/>
    </row>
    <row r="26" spans="1:16" ht="13">
      <c r="A26" s="317"/>
      <c r="B26" s="612" t="s">
        <v>56</v>
      </c>
      <c r="C26" s="617" t="s">
        <v>56</v>
      </c>
      <c r="D26" s="617" t="s">
        <v>56</v>
      </c>
      <c r="E26" s="617"/>
      <c r="F26" s="617" t="s">
        <v>56</v>
      </c>
      <c r="G26" s="617"/>
      <c r="H26" s="618" t="s">
        <v>56</v>
      </c>
      <c r="I26" s="618" t="s">
        <v>56</v>
      </c>
      <c r="J26" s="618" t="s">
        <v>56</v>
      </c>
      <c r="K26" s="618" t="s">
        <v>56</v>
      </c>
      <c r="L26" s="618" t="s">
        <v>56</v>
      </c>
      <c r="M26" s="619" t="s">
        <v>56</v>
      </c>
      <c r="N26" s="613" t="s">
        <v>56</v>
      </c>
      <c r="P26" s="355"/>
    </row>
    <row r="27" spans="1:16" ht="13">
      <c r="A27" s="317" t="s">
        <v>226</v>
      </c>
      <c r="B27" s="612">
        <v>0</v>
      </c>
      <c r="C27" s="617">
        <v>0</v>
      </c>
      <c r="D27" s="617">
        <v>0</v>
      </c>
      <c r="E27" s="617">
        <v>0</v>
      </c>
      <c r="F27" s="617">
        <v>0</v>
      </c>
      <c r="G27" s="617">
        <v>0</v>
      </c>
      <c r="H27" s="618">
        <v>0</v>
      </c>
      <c r="I27" s="618">
        <v>0</v>
      </c>
      <c r="J27" s="618">
        <v>0</v>
      </c>
      <c r="K27" s="618">
        <v>0</v>
      </c>
      <c r="L27" s="618">
        <v>0</v>
      </c>
      <c r="M27" s="619">
        <v>0</v>
      </c>
      <c r="N27" s="613">
        <f>SUM(B27:M27)</f>
        <v>0</v>
      </c>
      <c r="P27" s="355"/>
    </row>
    <row r="28" spans="1:16" ht="13">
      <c r="A28" s="589" t="s">
        <v>228</v>
      </c>
      <c r="B28" s="614">
        <f t="shared" ref="B28:H28" si="4">SUM(B27:B27)</f>
        <v>0</v>
      </c>
      <c r="C28" s="615">
        <f t="shared" si="4"/>
        <v>0</v>
      </c>
      <c r="D28" s="615">
        <f t="shared" si="4"/>
        <v>0</v>
      </c>
      <c r="E28" s="615">
        <f>SUM(E27:E27)</f>
        <v>0</v>
      </c>
      <c r="F28" s="615">
        <f t="shared" si="4"/>
        <v>0</v>
      </c>
      <c r="G28" s="615">
        <f t="shared" si="4"/>
        <v>0</v>
      </c>
      <c r="H28" s="615">
        <f t="shared" si="4"/>
        <v>0</v>
      </c>
      <c r="I28" s="615">
        <f>SUM(I27:I27)</f>
        <v>0</v>
      </c>
      <c r="J28" s="615">
        <f>SUM(J27:J27)</f>
        <v>0</v>
      </c>
      <c r="K28" s="615">
        <f>SUM(K27:K27)</f>
        <v>0</v>
      </c>
      <c r="L28" s="615">
        <f>SUM(L27:L27)</f>
        <v>0</v>
      </c>
      <c r="M28" s="615">
        <f>SUM(M27:M27)</f>
        <v>0</v>
      </c>
      <c r="N28" s="616">
        <f>SUM(B28:M28)</f>
        <v>0</v>
      </c>
      <c r="P28" s="355"/>
    </row>
    <row r="29" spans="1:16" ht="13">
      <c r="A29" s="321"/>
      <c r="B29" s="612"/>
      <c r="C29" s="617"/>
      <c r="D29" s="617"/>
      <c r="E29" s="617"/>
      <c r="F29" s="617"/>
      <c r="G29" s="620"/>
      <c r="H29" s="617"/>
      <c r="I29" s="620"/>
      <c r="J29" s="617"/>
      <c r="K29" s="617"/>
      <c r="L29" s="620"/>
      <c r="M29" s="612"/>
      <c r="N29" s="613"/>
    </row>
    <row r="30" spans="1:16" ht="13">
      <c r="A30" s="322"/>
      <c r="B30" s="612"/>
      <c r="C30" s="617"/>
      <c r="D30" s="617"/>
      <c r="E30" s="617"/>
      <c r="F30" s="617"/>
      <c r="G30" s="617"/>
      <c r="H30" s="617"/>
      <c r="I30" s="617"/>
      <c r="J30" s="617"/>
      <c r="K30" s="617"/>
      <c r="L30" s="617"/>
      <c r="M30" s="612"/>
      <c r="N30" s="613"/>
    </row>
    <row r="31" spans="1:16" ht="13">
      <c r="A31" s="322" t="s">
        <v>208</v>
      </c>
      <c r="B31" s="612">
        <v>0</v>
      </c>
      <c r="C31" s="617">
        <v>0</v>
      </c>
      <c r="D31" s="617">
        <v>0</v>
      </c>
      <c r="E31" s="617">
        <v>0</v>
      </c>
      <c r="F31" s="617">
        <v>0</v>
      </c>
      <c r="G31" s="617">
        <v>0</v>
      </c>
      <c r="H31" s="618">
        <v>0</v>
      </c>
      <c r="I31" s="618">
        <v>0</v>
      </c>
      <c r="J31" s="618">
        <v>0</v>
      </c>
      <c r="K31" s="618">
        <v>0</v>
      </c>
      <c r="L31" s="618">
        <v>0</v>
      </c>
      <c r="M31" s="619">
        <v>0</v>
      </c>
      <c r="N31" s="613">
        <f>SUM(B31:M31)</f>
        <v>0</v>
      </c>
    </row>
    <row r="32" spans="1:16">
      <c r="A32" s="319"/>
      <c r="B32" s="612"/>
      <c r="C32" s="617"/>
      <c r="D32" s="617"/>
      <c r="E32" s="617"/>
      <c r="F32" s="617"/>
      <c r="G32" s="617"/>
      <c r="H32" s="618"/>
      <c r="I32" s="618"/>
      <c r="J32" s="618"/>
      <c r="K32" s="618"/>
      <c r="L32" s="618"/>
      <c r="M32" s="621"/>
      <c r="N32" s="613" t="s">
        <v>56</v>
      </c>
    </row>
    <row r="33" spans="1:19" ht="13">
      <c r="A33" s="590" t="s">
        <v>214</v>
      </c>
      <c r="B33" s="614">
        <f t="shared" ref="B33:G33" si="5">SUM(B31:B32)</f>
        <v>0</v>
      </c>
      <c r="C33" s="615">
        <f t="shared" si="5"/>
        <v>0</v>
      </c>
      <c r="D33" s="615">
        <f t="shared" si="5"/>
        <v>0</v>
      </c>
      <c r="E33" s="615">
        <f t="shared" si="5"/>
        <v>0</v>
      </c>
      <c r="F33" s="615">
        <f t="shared" si="5"/>
        <v>0</v>
      </c>
      <c r="G33" s="615">
        <f t="shared" si="5"/>
        <v>0</v>
      </c>
      <c r="H33" s="615">
        <f>SUM(H30:H32)</f>
        <v>0</v>
      </c>
      <c r="I33" s="615">
        <f>SUM(I30:I32)</f>
        <v>0</v>
      </c>
      <c r="J33" s="615">
        <f>SUM(J31:J32)</f>
        <v>0</v>
      </c>
      <c r="K33" s="615">
        <f>SUM(K31:K32)</f>
        <v>0</v>
      </c>
      <c r="L33" s="615">
        <f>SUM(L31:L32)</f>
        <v>0</v>
      </c>
      <c r="M33" s="615">
        <f>SUM(M31:M32)</f>
        <v>0</v>
      </c>
      <c r="N33" s="616">
        <f>SUM(B33:M33)</f>
        <v>0</v>
      </c>
      <c r="O33" s="28"/>
    </row>
    <row r="34" spans="1:19" ht="10.5" customHeight="1">
      <c r="A34" s="591"/>
      <c r="B34" s="622"/>
      <c r="C34" s="620"/>
      <c r="D34" s="620"/>
      <c r="E34" s="620"/>
      <c r="F34" s="620"/>
      <c r="G34" s="620"/>
      <c r="H34" s="620"/>
      <c r="I34" s="620"/>
      <c r="J34" s="620"/>
      <c r="K34" s="620"/>
      <c r="L34" s="620"/>
      <c r="M34" s="620"/>
      <c r="N34" s="623"/>
    </row>
    <row r="35" spans="1:19" ht="15" customHeight="1">
      <c r="A35" s="588" t="s">
        <v>229</v>
      </c>
      <c r="B35" s="624">
        <v>0</v>
      </c>
      <c r="C35" s="625">
        <v>0</v>
      </c>
      <c r="D35" s="625">
        <v>0</v>
      </c>
      <c r="E35" s="625">
        <v>0</v>
      </c>
      <c r="F35" s="625">
        <v>0</v>
      </c>
      <c r="G35" s="625">
        <v>0</v>
      </c>
      <c r="H35" s="625">
        <v>0</v>
      </c>
      <c r="I35" s="625">
        <v>0</v>
      </c>
      <c r="J35" s="615">
        <v>0</v>
      </c>
      <c r="K35" s="615">
        <v>0</v>
      </c>
      <c r="L35" s="625">
        <v>0</v>
      </c>
      <c r="M35" s="625">
        <v>0</v>
      </c>
      <c r="N35" s="626">
        <f>SUM(B35:M35)</f>
        <v>0</v>
      </c>
      <c r="O35" s="30"/>
      <c r="P35" s="30"/>
      <c r="Q35" s="30"/>
      <c r="R35" s="30"/>
      <c r="S35" s="35"/>
    </row>
    <row r="36" spans="1:19" ht="15" customHeight="1" thickBot="1">
      <c r="A36" s="323" t="s">
        <v>241</v>
      </c>
      <c r="B36" s="627">
        <f t="shared" ref="B36:L36" si="6">B17+B24+B28+B33+B35</f>
        <v>93.581000000000003</v>
      </c>
      <c r="C36" s="627">
        <f t="shared" si="6"/>
        <v>116.93800000000002</v>
      </c>
      <c r="D36" s="627">
        <f t="shared" si="6"/>
        <v>109.446</v>
      </c>
      <c r="E36" s="627">
        <f t="shared" si="6"/>
        <v>117.25900000000001</v>
      </c>
      <c r="F36" s="627">
        <f t="shared" si="6"/>
        <v>0</v>
      </c>
      <c r="G36" s="627">
        <f t="shared" si="6"/>
        <v>0</v>
      </c>
      <c r="H36" s="627">
        <f>H17+H24+H28+H33+H35</f>
        <v>0</v>
      </c>
      <c r="I36" s="627">
        <f t="shared" si="6"/>
        <v>0</v>
      </c>
      <c r="J36" s="627">
        <f t="shared" si="6"/>
        <v>0</v>
      </c>
      <c r="K36" s="627">
        <f t="shared" si="6"/>
        <v>0</v>
      </c>
      <c r="L36" s="627">
        <f t="shared" si="6"/>
        <v>0</v>
      </c>
      <c r="M36" s="627">
        <f>M17+M24+M28+M33+M35</f>
        <v>0</v>
      </c>
      <c r="N36" s="628">
        <f>SUM(B36:M36)</f>
        <v>437.22400000000005</v>
      </c>
      <c r="O36" s="30"/>
      <c r="P36" s="30"/>
      <c r="Q36" s="30"/>
      <c r="R36" s="30"/>
      <c r="S36" s="35"/>
    </row>
    <row r="37" spans="1:19" s="160" customFormat="1" ht="26.25" customHeight="1" thickBot="1">
      <c r="A37" s="564" t="s">
        <v>242</v>
      </c>
      <c r="B37" s="629">
        <f>B36+0.05</f>
        <v>93.631</v>
      </c>
      <c r="C37" s="630">
        <f>C36+0.013</f>
        <v>116.95100000000002</v>
      </c>
      <c r="D37" s="630">
        <f>D36+0.018</f>
        <v>109.464</v>
      </c>
      <c r="E37" s="630">
        <f>E36+0.025</f>
        <v>117.28400000000002</v>
      </c>
      <c r="F37" s="630">
        <v>0</v>
      </c>
      <c r="G37" s="630">
        <v>0</v>
      </c>
      <c r="H37" s="630">
        <v>0</v>
      </c>
      <c r="I37" s="630">
        <v>0</v>
      </c>
      <c r="J37" s="630">
        <v>0</v>
      </c>
      <c r="K37" s="630">
        <v>0</v>
      </c>
      <c r="L37" s="630">
        <v>0</v>
      </c>
      <c r="M37" s="630">
        <v>0</v>
      </c>
      <c r="N37" s="631">
        <f>SUM(B37:M37)</f>
        <v>437.33000000000004</v>
      </c>
      <c r="O37" s="565"/>
    </row>
    <row r="38" spans="1:19" ht="13">
      <c r="A38" s="36"/>
      <c r="B38" s="37"/>
      <c r="C38" s="37"/>
      <c r="D38" s="37"/>
      <c r="E38" s="37"/>
      <c r="F38" s="37"/>
      <c r="G38" s="37"/>
      <c r="H38" s="37"/>
      <c r="I38" s="37"/>
      <c r="J38" s="37"/>
      <c r="K38" s="37"/>
      <c r="L38" s="37"/>
      <c r="M38" s="37"/>
      <c r="N38" s="37"/>
    </row>
    <row r="39" spans="1:19" ht="14">
      <c r="A39" s="420" t="s">
        <v>63</v>
      </c>
      <c r="B39" s="419"/>
      <c r="C39" s="419"/>
      <c r="D39" s="419"/>
      <c r="E39" s="419"/>
      <c r="F39" s="419"/>
      <c r="G39" s="419"/>
      <c r="H39" s="419"/>
      <c r="I39" s="419"/>
      <c r="J39" s="419"/>
      <c r="K39" s="419"/>
      <c r="L39" s="419"/>
      <c r="M39" s="419"/>
      <c r="N39" s="419"/>
    </row>
    <row r="40" spans="1:19" ht="16.5">
      <c r="A40" s="558" t="s">
        <v>278</v>
      </c>
      <c r="B40" s="559"/>
      <c r="C40" s="559"/>
      <c r="D40" s="559"/>
      <c r="E40" s="559"/>
      <c r="F40" s="559"/>
      <c r="G40" s="559"/>
      <c r="H40" s="559"/>
      <c r="I40" s="559"/>
      <c r="J40" s="559"/>
      <c r="K40" s="559"/>
      <c r="L40" s="559"/>
      <c r="M40" s="559"/>
      <c r="N40" s="559"/>
    </row>
    <row r="41" spans="1:19" ht="15" customHeight="1">
      <c r="A41" s="706" t="s">
        <v>279</v>
      </c>
      <c r="B41" s="706"/>
      <c r="C41" s="706"/>
      <c r="D41" s="706"/>
      <c r="E41" s="706"/>
      <c r="F41" s="706"/>
      <c r="G41" s="706"/>
      <c r="H41" s="706"/>
      <c r="I41" s="706"/>
      <c r="J41" s="706"/>
      <c r="K41" s="706"/>
      <c r="L41" s="706"/>
      <c r="M41" s="706"/>
      <c r="N41" s="706"/>
    </row>
    <row r="42" spans="1:19" ht="15" customHeight="1">
      <c r="A42" s="560" t="s">
        <v>280</v>
      </c>
      <c r="B42" s="561"/>
      <c r="C42" s="561"/>
      <c r="D42" s="561"/>
      <c r="E42" s="561"/>
      <c r="F42" s="561"/>
      <c r="G42" s="561"/>
      <c r="H42" s="561"/>
      <c r="I42" s="561"/>
      <c r="J42" s="561"/>
      <c r="K42" s="561"/>
      <c r="L42" s="561"/>
      <c r="M42" s="561"/>
      <c r="N42" s="561"/>
    </row>
    <row r="43" spans="1:19" ht="15" customHeight="1">
      <c r="A43" s="562" t="s">
        <v>286</v>
      </c>
      <c r="B43" s="561"/>
      <c r="C43" s="561"/>
      <c r="D43" s="561"/>
      <c r="E43" s="561"/>
      <c r="F43" s="561"/>
      <c r="G43" s="561"/>
      <c r="H43" s="561"/>
      <c r="I43" s="561"/>
      <c r="J43" s="561"/>
      <c r="K43" s="561"/>
      <c r="L43" s="561"/>
      <c r="M43" s="561"/>
      <c r="N43" s="561"/>
    </row>
    <row r="44" spans="1:19" ht="15" customHeight="1">
      <c r="A44" s="529"/>
      <c r="B44" s="528"/>
      <c r="C44" s="528"/>
      <c r="D44" s="528"/>
      <c r="E44" s="528"/>
      <c r="F44" s="528"/>
      <c r="G44" s="528"/>
      <c r="H44" s="528"/>
      <c r="I44" s="528"/>
      <c r="J44" s="528"/>
      <c r="K44" s="528"/>
      <c r="L44" s="528"/>
      <c r="M44" s="528"/>
      <c r="N44" s="528"/>
    </row>
    <row r="45" spans="1:19" ht="14.5">
      <c r="A45" s="236" t="s">
        <v>64</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8"/>
  <sheetViews>
    <sheetView showGridLines="0" tabSelected="1" showRuler="0" zoomScaleNormal="100" zoomScaleSheetLayoutView="80" workbookViewId="0"/>
  </sheetViews>
  <sheetFormatPr defaultColWidth="9.2695312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26953125" style="10" customWidth="1"/>
    <col min="7" max="7" width="9.7265625" style="10" bestFit="1" customWidth="1"/>
    <col min="8" max="8" width="11.36328125" style="10" customWidth="1"/>
    <col min="9" max="9" width="11.6328125" style="10" bestFit="1" customWidth="1"/>
    <col min="10" max="10" width="10.7265625" style="10" customWidth="1"/>
    <col min="11" max="14" width="12.6328125" style="10" customWidth="1"/>
    <col min="15" max="15" width="12.36328125" style="10" customWidth="1"/>
    <col min="16" max="16" width="12.6328125" style="10" customWidth="1"/>
    <col min="17" max="17" width="10.7265625" style="10" customWidth="1"/>
    <col min="18" max="18" width="11" style="10" customWidth="1"/>
    <col min="19" max="19" width="11.26953125" style="10" customWidth="1"/>
    <col min="20" max="20" width="14.26953125" style="10" hidden="1" customWidth="1"/>
    <col min="21" max="21" width="9.7265625" style="10" customWidth="1"/>
    <col min="22" max="22" width="11.36328125" style="10" customWidth="1"/>
    <col min="23" max="23" width="11" style="10" customWidth="1"/>
    <col min="24" max="25" width="9.7265625" style="10" customWidth="1"/>
    <col min="26" max="26" width="12.7265625" style="10" customWidth="1"/>
    <col min="27" max="27" width="8.7265625" style="10" bestFit="1" customWidth="1"/>
    <col min="28" max="28" width="10.6328125" style="10" customWidth="1"/>
    <col min="29" max="29" width="9.7265625" style="10" bestFit="1" customWidth="1"/>
    <col min="30" max="30" width="11.26953125" style="10" customWidth="1"/>
    <col min="31" max="31" width="9.7265625" style="10" bestFit="1" customWidth="1"/>
    <col min="32" max="32" width="10.7265625" style="10" customWidth="1"/>
    <col min="33" max="33" width="12.26953125" style="10" bestFit="1" customWidth="1"/>
    <col min="34" max="34" width="12.26953125" style="10" customWidth="1"/>
    <col min="35" max="35" width="9.6328125" style="10" bestFit="1" customWidth="1"/>
    <col min="36" max="36" width="11.26953125" style="10" customWidth="1"/>
    <col min="37" max="37" width="11.7265625" style="10" bestFit="1" customWidth="1"/>
    <col min="38" max="38" width="11.7265625" style="10" customWidth="1"/>
    <col min="39" max="16384" width="9.26953125" style="10"/>
  </cols>
  <sheetData>
    <row r="1" spans="1:31" ht="13">
      <c r="H1" s="148" t="s">
        <v>39</v>
      </c>
    </row>
    <row r="2" spans="1:31" ht="13">
      <c r="H2" s="148" t="s">
        <v>40</v>
      </c>
      <c r="Q2" s="12"/>
      <c r="R2" s="86"/>
    </row>
    <row r="3" spans="1:31" ht="13">
      <c r="C3" s="152"/>
      <c r="E3" s="152"/>
      <c r="G3" s="152"/>
      <c r="H3" s="151" t="s">
        <v>309</v>
      </c>
      <c r="I3" s="152"/>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87"/>
    </row>
    <row r="6" spans="1:31" ht="13">
      <c r="A6" s="88"/>
      <c r="B6" s="89"/>
      <c r="C6" s="424" t="s">
        <v>41</v>
      </c>
      <c r="D6" s="89"/>
      <c r="E6" s="89"/>
      <c r="F6" s="89" t="s">
        <v>42</v>
      </c>
      <c r="G6" s="89"/>
      <c r="H6" s="89"/>
      <c r="I6" s="89" t="s">
        <v>43</v>
      </c>
      <c r="J6" s="89"/>
      <c r="K6" s="89"/>
      <c r="L6" s="89" t="s">
        <v>44</v>
      </c>
      <c r="M6" s="89"/>
      <c r="N6" s="89"/>
      <c r="O6" s="89" t="s">
        <v>31</v>
      </c>
      <c r="P6" s="89"/>
      <c r="Q6" s="89"/>
      <c r="R6" s="89" t="s">
        <v>45</v>
      </c>
      <c r="S6" s="89"/>
      <c r="T6" s="175"/>
    </row>
    <row r="7" spans="1:31" ht="42.5">
      <c r="A7" s="176" t="s">
        <v>46</v>
      </c>
      <c r="B7" s="195" t="s">
        <v>47</v>
      </c>
      <c r="C7" s="178" t="s">
        <v>48</v>
      </c>
      <c r="D7" s="168" t="s">
        <v>49</v>
      </c>
      <c r="E7" s="177" t="s">
        <v>47</v>
      </c>
      <c r="F7" s="178" t="s">
        <v>48</v>
      </c>
      <c r="G7" s="168" t="s">
        <v>49</v>
      </c>
      <c r="H7" s="177" t="s">
        <v>47</v>
      </c>
      <c r="I7" s="178" t="s">
        <v>48</v>
      </c>
      <c r="J7" s="168" t="s">
        <v>49</v>
      </c>
      <c r="K7" s="177" t="s">
        <v>47</v>
      </c>
      <c r="L7" s="178" t="s">
        <v>48</v>
      </c>
      <c r="M7" s="168" t="s">
        <v>49</v>
      </c>
      <c r="N7" s="177" t="s">
        <v>47</v>
      </c>
      <c r="O7" s="178" t="s">
        <v>281</v>
      </c>
      <c r="P7" s="168" t="s">
        <v>282</v>
      </c>
      <c r="Q7" s="177" t="s">
        <v>47</v>
      </c>
      <c r="R7" s="178" t="s">
        <v>281</v>
      </c>
      <c r="S7" s="168" t="s">
        <v>282</v>
      </c>
      <c r="T7" s="168" t="s">
        <v>50</v>
      </c>
    </row>
    <row r="8" spans="1:31" ht="13">
      <c r="A8" s="162" t="s">
        <v>51</v>
      </c>
      <c r="B8" s="179"/>
      <c r="C8" s="179"/>
      <c r="D8" s="180"/>
      <c r="E8" s="181"/>
      <c r="F8" s="179"/>
      <c r="G8" s="180"/>
      <c r="H8" s="181"/>
      <c r="I8" s="179"/>
      <c r="J8" s="179"/>
      <c r="K8" s="181"/>
      <c r="L8" s="179"/>
      <c r="M8" s="182"/>
      <c r="N8" s="181"/>
      <c r="O8" s="179"/>
      <c r="P8" s="182"/>
      <c r="Q8" s="181"/>
      <c r="R8" s="179"/>
      <c r="S8" s="182"/>
      <c r="T8" s="183"/>
    </row>
    <row r="9" spans="1:31">
      <c r="A9" s="85" t="s">
        <v>8</v>
      </c>
      <c r="B9" s="102">
        <v>4</v>
      </c>
      <c r="C9" s="331">
        <f>B9*(INDEX('Ex ante LI &amp; Eligibility Stats'!$A:$M,MATCH('Program MW '!$A9,'Ex ante LI &amp; Eligibility Stats'!$A:$A,0),MATCH('Program MW '!C$6,'Ex ante LI &amp; Eligibility Stats'!$A$8:$M$8,0))/1000)</f>
        <v>0.591757080078125</v>
      </c>
      <c r="D9" s="327">
        <f>B9*(INDEX('Ex post LI &amp; Eligibility Stats'!$A:$N,MATCH($A9,'Ex post LI &amp; Eligibility Stats'!$A:$A,0),MATCH('Program MW '!C$6,'Ex post LI &amp; Eligibility Stats'!$A$8:$N$8,0))/1000)</f>
        <v>0.42431999999999997</v>
      </c>
      <c r="E9" s="14">
        <v>4</v>
      </c>
      <c r="F9" s="327">
        <f>E9*(INDEX('Ex ante LI &amp; Eligibility Stats'!$A:$M,MATCH('Program MW '!$A9,'Ex ante LI &amp; Eligibility Stats'!$A:$A,0),MATCH('Program MW '!F$6,'Ex ante LI &amp; Eligibility Stats'!$A$8:$M$8,0))/1000)</f>
        <v>0.49343344116210935</v>
      </c>
      <c r="G9" s="327">
        <f>E9*(INDEX('Ex post LI &amp; Eligibility Stats'!$A:$N,MATCH($A9,'Ex post LI &amp; Eligibility Stats'!$A:$A,0),MATCH('Program MW '!F$6,'Ex post LI &amp; Eligibility Stats'!$A$8:$N$8,0))/1000)</f>
        <v>0.42431999999999997</v>
      </c>
      <c r="H9" s="14">
        <v>4</v>
      </c>
      <c r="I9" s="327">
        <f>H9*(INDEX('Ex ante LI &amp; Eligibility Stats'!$A:$M,MATCH('Program MW '!$A9,'Ex ante LI &amp; Eligibility Stats'!$A:$A,0),MATCH('Program MW '!I$6,'Ex ante LI &amp; Eligibility Stats'!$A$8:$M$8,0))/1000)</f>
        <v>0.61670471191406251</v>
      </c>
      <c r="J9" s="327">
        <f>H9*(INDEX('Ex post LI &amp; Eligibility Stats'!$A:$N,MATCH($A9,'Ex post LI &amp; Eligibility Stats'!$A:$A,0),MATCH('Program MW '!I$6,'Ex post LI &amp; Eligibility Stats'!$A$8:$N$8,0))/1000)</f>
        <v>0.42399999999999999</v>
      </c>
      <c r="K9" s="14">
        <v>4</v>
      </c>
      <c r="L9" s="327">
        <f>K9*(INDEX('Ex ante LI &amp; Eligibility Stats'!$A:$M,MATCH('Program MW '!$A9,'Ex ante LI &amp; Eligibility Stats'!$A:$A,0),MATCH('Program MW '!L$6,'Ex ante LI &amp; Eligibility Stats'!$A$8:$M$8,0))/1000)</f>
        <v>0.56545135498046872</v>
      </c>
      <c r="M9" s="327">
        <f>K9*(INDEX('Ex post LI &amp; Eligibility Stats'!$A:$N,MATCH($A9,'Ex post LI &amp; Eligibility Stats'!$A:$A,0),MATCH('Program MW '!L$6,'Ex post LI &amp; Eligibility Stats'!$A$8:$N$8,0))/1000)</f>
        <v>0.42399999999999999</v>
      </c>
      <c r="N9" s="14">
        <v>0</v>
      </c>
      <c r="O9" s="327">
        <f>N9*(INDEX('Ex ante LI &amp; Eligibility Stats'!$A:$M,MATCH('Program MW '!$A9,'Ex ante LI &amp; Eligibility Stats'!$A:$A,0),MATCH('Program MW '!O$6,'Ex ante LI &amp; Eligibility Stats'!$A$8:$M$8,0))/1000)</f>
        <v>0</v>
      </c>
      <c r="P9" s="327">
        <f>N9*(INDEX('Ex post LI &amp; Eligibility Stats'!$A:$N,MATCH($A9,'Ex post LI &amp; Eligibility Stats'!$A:$A,0),MATCH('Program MW '!O$6,'Ex post LI &amp; Eligibility Stats'!$A$8:$N$8,0))/1000)</f>
        <v>0</v>
      </c>
      <c r="Q9" s="124">
        <v>0</v>
      </c>
      <c r="R9" s="327">
        <f>Q9*(INDEX('Ex ante LI &amp; Eligibility Stats'!$A:$M,MATCH('Program MW '!$A9,'Ex ante LI &amp; Eligibility Stats'!$A:$A,0),MATCH('Program MW '!R$6,'Ex ante LI &amp; Eligibility Stats'!$A$8:$M$8,0))/1000)</f>
        <v>0</v>
      </c>
      <c r="S9" s="327">
        <f>Q9*(INDEX('Ex post LI &amp; Eligibility Stats'!$A:$N,MATCH($A9,'Ex post LI &amp; Eligibility Stats'!$A:$A,0),MATCH('Program MW '!R$6,'Ex post LI &amp; Eligibility Stats'!$A$8:$N$8,0))/1000)</f>
        <v>0</v>
      </c>
      <c r="T9" s="4">
        <v>5276</v>
      </c>
    </row>
    <row r="10" spans="1:31" ht="13.5" thickBot="1">
      <c r="A10" s="184" t="s">
        <v>52</v>
      </c>
      <c r="B10" s="154">
        <f t="shared" ref="B10:Q10" si="0">SUM(B9:B9)</f>
        <v>4</v>
      </c>
      <c r="C10" s="170">
        <f t="shared" si="0"/>
        <v>0.591757080078125</v>
      </c>
      <c r="D10" s="170">
        <f t="shared" si="0"/>
        <v>0.42431999999999997</v>
      </c>
      <c r="E10" s="1">
        <f t="shared" si="0"/>
        <v>4</v>
      </c>
      <c r="F10" s="227">
        <f t="shared" si="0"/>
        <v>0.49343344116210935</v>
      </c>
      <c r="G10" s="227">
        <f t="shared" si="0"/>
        <v>0.42431999999999997</v>
      </c>
      <c r="H10" s="1">
        <f t="shared" si="0"/>
        <v>4</v>
      </c>
      <c r="I10" s="227">
        <f t="shared" si="0"/>
        <v>0.61670471191406251</v>
      </c>
      <c r="J10" s="227">
        <f t="shared" si="0"/>
        <v>0.42399999999999999</v>
      </c>
      <c r="K10" s="1">
        <f>SUM(K9)</f>
        <v>4</v>
      </c>
      <c r="L10" s="227">
        <f t="shared" ref="L10:M10" si="1">SUM(L9:L9)</f>
        <v>0.56545135498046872</v>
      </c>
      <c r="M10" s="227">
        <f t="shared" si="1"/>
        <v>0.42399999999999999</v>
      </c>
      <c r="N10" s="1">
        <f t="shared" si="0"/>
        <v>0</v>
      </c>
      <c r="O10" s="227">
        <f t="shared" si="0"/>
        <v>0</v>
      </c>
      <c r="P10" s="227">
        <f t="shared" si="0"/>
        <v>0</v>
      </c>
      <c r="Q10" s="125">
        <f t="shared" si="0"/>
        <v>0</v>
      </c>
      <c r="R10" s="227">
        <f t="shared" ref="R10:S10" si="2">SUM(R9:R9)</f>
        <v>0</v>
      </c>
      <c r="S10" s="227">
        <f t="shared" si="2"/>
        <v>0</v>
      </c>
      <c r="T10" s="5"/>
    </row>
    <row r="11" spans="1:31" ht="13.5" thickTop="1">
      <c r="A11" s="162" t="s">
        <v>53</v>
      </c>
      <c r="B11" s="171"/>
      <c r="C11" s="169"/>
      <c r="D11" s="172"/>
      <c r="E11" s="185"/>
      <c r="F11" s="186"/>
      <c r="G11" s="187"/>
      <c r="H11" s="185"/>
      <c r="I11" s="188"/>
      <c r="J11" s="187"/>
      <c r="K11" s="185"/>
      <c r="L11" s="188"/>
      <c r="M11" s="187"/>
      <c r="N11" s="185"/>
      <c r="O11" s="332"/>
      <c r="P11" s="333"/>
      <c r="Q11" s="189"/>
      <c r="R11" s="188"/>
      <c r="S11" s="190"/>
      <c r="T11" s="183"/>
      <c r="Y11" s="6"/>
      <c r="Z11" s="6"/>
      <c r="AA11" s="6"/>
      <c r="AB11" s="6"/>
      <c r="AC11" s="6"/>
      <c r="AD11" s="6"/>
      <c r="AE11" s="6"/>
    </row>
    <row r="12" spans="1:31">
      <c r="A12" s="42" t="s">
        <v>11</v>
      </c>
      <c r="B12" s="158">
        <v>14093</v>
      </c>
      <c r="C12" s="327">
        <f>B12*(INDEX('Ex ante LI &amp; Eligibility Stats'!$A:$M,MATCH($A12,'Ex ante LI &amp; Eligibility Stats'!$A:$A,0),MATCH('Program MW '!C$6,'Ex ante LI &amp; Eligibility Stats'!$A$8:$M$8,0))/1000)</f>
        <v>1.9730200000000002</v>
      </c>
      <c r="D12" s="326">
        <f>B12*(INDEX('Ex post LI &amp; Eligibility Stats'!$A:$N,MATCH($A12,'Ex post LI &amp; Eligibility Stats'!$A:$A,0),MATCH('Program MW '!C$6,'Ex post LI &amp; Eligibility Stats'!$A$8:$N$8,0))/1000)</f>
        <v>5.6372</v>
      </c>
      <c r="E12" s="158">
        <v>14068</v>
      </c>
      <c r="F12" s="325">
        <f>E12*(INDEX('Ex ante LI &amp; Eligibility Stats'!$A:$M,MATCH($A12,'Ex ante LI &amp; Eligibility Stats'!$A:$A,0),MATCH('Program MW '!F$6,'Ex ante LI &amp; Eligibility Stats'!$A$8:$M$8,0))/1000)</f>
        <v>1.9695200000000002</v>
      </c>
      <c r="G12" s="326">
        <f>E12*(INDEX('Ex post LI &amp; Eligibility Stats'!$A:$N,MATCH($A12,'Ex post LI &amp; Eligibility Stats'!$A:$A,0),MATCH('Program MW '!F$6,'Ex post LI &amp; Eligibility Stats'!$A$8:$N$8,0))/1000)</f>
        <v>5.6272000000000002</v>
      </c>
      <c r="H12" s="158">
        <v>13616</v>
      </c>
      <c r="I12" s="327">
        <f>H12*(INDEX('Ex ante LI &amp; Eligibility Stats'!$A:$M,MATCH('Program MW '!$A12,'Ex ante LI &amp; Eligibility Stats'!$A:$A,0),MATCH('Program MW '!I$6,'Ex ante LI &amp; Eligibility Stats'!$A$8:$M$8,0))/1000)</f>
        <v>0</v>
      </c>
      <c r="J12" s="326">
        <f>H12*(INDEX('Ex post LI &amp; Eligibility Stats'!$A:$N,MATCH($A12,'Ex post LI &amp; Eligibility Stats'!$A:$A,0),MATCH('Program MW '!I$6,'Ex post LI &amp; Eligibility Stats'!$A$8:$N$8,0))/1000)</f>
        <v>6.552116814289886</v>
      </c>
      <c r="K12" s="158">
        <v>13615</v>
      </c>
      <c r="L12" s="327">
        <f>K12*(INDEX('Ex ante LI &amp; Eligibility Stats'!$A:$M,MATCH('Program MW '!$A12,'Ex ante LI &amp; Eligibility Stats'!$A:$A,0),MATCH('Program MW '!L$6,'Ex ante LI &amp; Eligibility Stats'!$A$8:$M$8,0))/1000)</f>
        <v>0</v>
      </c>
      <c r="M12" s="326">
        <f>K12*(INDEX('Ex post LI &amp; Eligibility Stats'!$A:$N,MATCH($A12,'Ex post LI &amp; Eligibility Stats'!$A:$A,0),MATCH('Program MW '!L$6,'Ex post LI &amp; Eligibility Stats'!$A$8:$N$8,0))/1000)</f>
        <v>6.5516356071207982</v>
      </c>
      <c r="N12" s="158">
        <v>0</v>
      </c>
      <c r="O12" s="327">
        <f>N12*(INDEX('Ex ante LI &amp; Eligibility Stats'!$A:$M,MATCH('Program MW '!$A12,'Ex ante LI &amp; Eligibility Stats'!$A:$A,0),MATCH('Program MW '!O$6,'Ex ante LI &amp; Eligibility Stats'!$A$8:$M$8,0))/1000)</f>
        <v>0</v>
      </c>
      <c r="P12" s="326">
        <f>N12*(INDEX('Ex post LI &amp; Eligibility Stats'!$A:$N,MATCH($A12,'Ex post LI &amp; Eligibility Stats'!$A:$A,0),MATCH('Program MW '!O$6,'Ex post LI &amp; Eligibility Stats'!$A$8:$N$8,0))/1000)</f>
        <v>0</v>
      </c>
      <c r="Q12" s="158">
        <v>0</v>
      </c>
      <c r="R12" s="327">
        <f>Q12*(INDEX('Ex ante LI &amp; Eligibility Stats'!$A:$M,MATCH('Program MW '!$A12,'Ex ante LI &amp; Eligibility Stats'!$A:$A,0),MATCH('Program MW '!R$6,'Ex ante LI &amp; Eligibility Stats'!$A$8:$M$8,0))/1000)</f>
        <v>0</v>
      </c>
      <c r="S12" s="326">
        <f>Q12*(INDEX('Ex post LI &amp; Eligibility Stats'!$A:$N,MATCH($A12,'Ex post LI &amp; Eligibility Stats'!$A:$A,0),MATCH('Program MW '!R$6,'Ex post LI &amp; Eligibility Stats'!$A$8:$N$8,0))/1000)</f>
        <v>0</v>
      </c>
      <c r="T12" s="7">
        <v>138123</v>
      </c>
      <c r="U12" s="6"/>
      <c r="V12" s="6"/>
      <c r="W12" s="6"/>
      <c r="X12" s="6"/>
      <c r="Y12" s="6"/>
      <c r="Z12" s="6"/>
      <c r="AA12" s="6"/>
      <c r="AB12" s="6"/>
      <c r="AC12" s="6"/>
      <c r="AD12" s="6"/>
      <c r="AE12" s="6"/>
    </row>
    <row r="13" spans="1:31" ht="13.5">
      <c r="A13" s="205" t="s">
        <v>54</v>
      </c>
      <c r="B13" s="206">
        <v>0</v>
      </c>
      <c r="C13" s="327">
        <v>0</v>
      </c>
      <c r="D13" s="328">
        <v>0</v>
      </c>
      <c r="E13" s="206">
        <v>0</v>
      </c>
      <c r="F13" s="327">
        <v>0</v>
      </c>
      <c r="G13" s="328">
        <v>0</v>
      </c>
      <c r="H13" s="206">
        <v>0</v>
      </c>
      <c r="I13" s="327">
        <v>0</v>
      </c>
      <c r="J13" s="328">
        <v>0</v>
      </c>
      <c r="K13" s="206">
        <v>0</v>
      </c>
      <c r="L13" s="327">
        <v>0</v>
      </c>
      <c r="M13" s="328">
        <v>0</v>
      </c>
      <c r="N13" s="206">
        <v>0</v>
      </c>
      <c r="O13" s="327">
        <v>0</v>
      </c>
      <c r="P13" s="328">
        <v>0</v>
      </c>
      <c r="Q13" s="206">
        <v>0</v>
      </c>
      <c r="R13" s="327">
        <v>0</v>
      </c>
      <c r="S13" s="328">
        <v>0</v>
      </c>
      <c r="T13" s="4"/>
      <c r="U13" s="6"/>
      <c r="V13" s="6"/>
      <c r="W13" s="6"/>
      <c r="X13" s="6"/>
      <c r="Y13" s="6"/>
      <c r="Z13" s="6"/>
      <c r="AA13" s="6"/>
      <c r="AB13" s="6"/>
      <c r="AC13" s="6"/>
      <c r="AD13" s="6"/>
      <c r="AE13" s="6"/>
    </row>
    <row r="14" spans="1:31">
      <c r="A14" s="271" t="s">
        <v>17</v>
      </c>
      <c r="B14" s="159">
        <v>17376</v>
      </c>
      <c r="C14" s="327">
        <f>B14*(INDEX('Ex ante LI &amp; Eligibility Stats'!$A:$M,MATCH($A14,'Ex ante LI &amp; Eligibility Stats'!$A:$A,0),MATCH('Program MW '!C$6,'Ex ante LI &amp; Eligibility Stats'!$A$8:$M$8,0))/1000)</f>
        <v>1.9547919699107298E-4</v>
      </c>
      <c r="D14" s="328">
        <f>B14*(INDEX('Ex post LI &amp; Eligibility Stats'!$A:$N,MATCH($A14,'Ex post LI &amp; Eligibility Stats'!$A:$A,0),MATCH('Program MW '!C$6,'Ex post LI &amp; Eligibility Stats'!$A$8:$N$8,0))/1000)</f>
        <v>5.5603200000000008</v>
      </c>
      <c r="E14" s="159">
        <v>17278</v>
      </c>
      <c r="F14" s="327">
        <f>E14*(INDEX('Ex ante LI &amp; Eligibility Stats'!$A:$M,MATCH($A14,'Ex ante LI &amp; Eligibility Stats'!$A:$A,0),MATCH('Program MW '!F$6,'Ex ante LI &amp; Eligibility Stats'!$A$8:$M$8,0))/1000)</f>
        <v>4.5015298280304707E-5</v>
      </c>
      <c r="G14" s="328">
        <f>E14*(INDEX('Ex post LI &amp; Eligibility Stats'!$A:$N,MATCH($A14,'Ex post LI &amp; Eligibility Stats'!$A:$A,0),MATCH('Program MW '!F$6,'Ex post LI &amp; Eligibility Stats'!$A$8:$N$8,0))/1000)</f>
        <v>5.5289600000000005</v>
      </c>
      <c r="H14" s="159">
        <v>17050</v>
      </c>
      <c r="I14" s="327">
        <f>H14*(INDEX('Ex ante LI &amp; Eligibility Stats'!$A:$M,MATCH('Program MW '!$A14,'Ex ante LI &amp; Eligibility Stats'!$A:$A,0),MATCH('Program MW '!I$6,'Ex ante LI &amp; Eligibility Stats'!$A$8:$M$8,0))/1000)</f>
        <v>0</v>
      </c>
      <c r="J14" s="328">
        <f>H14*(INDEX('Ex post LI &amp; Eligibility Stats'!$A:$N,MATCH($A14,'Ex post LI &amp; Eligibility Stats'!$A:$A,0),MATCH('Program MW '!I$6,'Ex post LI &amp; Eligibility Stats'!$A$8:$N$8,0))/1000)</f>
        <v>5.1198614791035659</v>
      </c>
      <c r="K14" s="159">
        <v>17283</v>
      </c>
      <c r="L14" s="327">
        <f>K14*(INDEX('Ex ante LI &amp; Eligibility Stats'!$A:$M,MATCH('Program MW '!$A14,'Ex ante LI &amp; Eligibility Stats'!$A:$A,0),MATCH('Program MW '!L$6,'Ex ante LI &amp; Eligibility Stats'!$A$8:$M$8,0))/1000)</f>
        <v>0.63219965072348705</v>
      </c>
      <c r="M14" s="328">
        <f>K14*(INDEX('Ex post LI &amp; Eligibility Stats'!$A:$N,MATCH($A14,'Ex post LI &amp; Eligibility Stats'!$A:$A,0),MATCH('Program MW '!L$6,'Ex post LI &amp; Eligibility Stats'!$A$8:$N$8,0))/1000)</f>
        <v>5.1898279145658019</v>
      </c>
      <c r="N14" s="159">
        <v>0</v>
      </c>
      <c r="O14" s="327">
        <f>N14*(INDEX('Ex ante LI &amp; Eligibility Stats'!$A:$M,MATCH('Program MW '!$A14,'Ex ante LI &amp; Eligibility Stats'!$A:$A,0),MATCH('Program MW '!O$6,'Ex ante LI &amp; Eligibility Stats'!$A$8:$M$8,0))/1000)</f>
        <v>0</v>
      </c>
      <c r="P14" s="328">
        <f>N14*(INDEX('Ex post LI &amp; Eligibility Stats'!$A:$N,MATCH($A14,'Ex post LI &amp; Eligibility Stats'!$A:$A,0),MATCH('Program MW '!O$6,'Ex post LI &amp; Eligibility Stats'!$A$8:$N$8,0))/1000)</f>
        <v>0</v>
      </c>
      <c r="Q14" s="159">
        <v>0</v>
      </c>
      <c r="R14" s="327">
        <f>Q14*(INDEX('Ex ante LI &amp; Eligibility Stats'!$A:$M,MATCH('Program MW '!$A14,'Ex ante LI &amp; Eligibility Stats'!$A:$A,0),MATCH('Program MW '!R$6,'Ex ante LI &amp; Eligibility Stats'!$A$8:$M$8,0))/1000)</f>
        <v>0</v>
      </c>
      <c r="S14" s="328">
        <f>Q14*(INDEX('Ex post LI &amp; Eligibility Stats'!$A:$N,MATCH($A14,'Ex post LI &amp; Eligibility Stats'!$A:$A,0),MATCH('Program MW '!R$6,'Ex post LI &amp; Eligibility Stats'!$A$8:$N$8,0))/1000)</f>
        <v>0</v>
      </c>
      <c r="T14" s="4">
        <v>663393.5</v>
      </c>
      <c r="U14" s="6"/>
      <c r="V14" s="6"/>
      <c r="W14" s="6"/>
      <c r="X14" s="6"/>
      <c r="Y14" s="6"/>
      <c r="Z14" s="6"/>
      <c r="AA14" s="6"/>
      <c r="AB14" s="6"/>
      <c r="AC14" s="6"/>
      <c r="AD14" s="6"/>
      <c r="AE14" s="6"/>
    </row>
    <row r="15" spans="1:31">
      <c r="A15" s="156" t="s">
        <v>20</v>
      </c>
      <c r="B15" s="159">
        <v>704</v>
      </c>
      <c r="C15" s="327">
        <f>B15*(INDEX('Ex ante LI &amp; Eligibility Stats'!$A:$M,MATCH($A15,'Ex ante LI &amp; Eligibility Stats'!$A:$A,0),MATCH('Program MW '!C$6,'Ex ante LI &amp; Eligibility Stats'!$A$8:$M$8,0))/1000)</f>
        <v>2.559620887041092E-4</v>
      </c>
      <c r="D15" s="328">
        <f>B15*(INDEX('Ex post LI &amp; Eligibility Stats'!$A:$N,MATCH($A15,'Ex post LI &amp; Eligibility Stats'!$A:$A,0),MATCH('Program MW '!C$6,'Ex post LI &amp; Eligibility Stats'!$A$8:$N$8,0))/1000)</f>
        <v>0.32384000000000002</v>
      </c>
      <c r="E15" s="159">
        <v>704</v>
      </c>
      <c r="F15" s="327">
        <f>E15*(INDEX('Ex ante LI &amp; Eligibility Stats'!$A:$M,MATCH($A15,'Ex ante LI &amp; Eligibility Stats'!$A:$A,0),MATCH('Program MW '!F$6,'Ex ante LI &amp; Eligibility Stats'!$A$8:$M$8,0))/1000)</f>
        <v>5.9277471620589494E-5</v>
      </c>
      <c r="G15" s="328">
        <f>E15*(INDEX('Ex post LI &amp; Eligibility Stats'!$A:$N,MATCH($A15,'Ex post LI &amp; Eligibility Stats'!$A:$A,0),MATCH('Program MW '!F$6,'Ex post LI &amp; Eligibility Stats'!$A$8:$N$8,0))/1000)</f>
        <v>0.32384000000000002</v>
      </c>
      <c r="H15" s="159">
        <v>268</v>
      </c>
      <c r="I15" s="327">
        <f>H15*(INDEX('Ex ante LI &amp; Eligibility Stats'!$A:$M,MATCH('Program MW '!$A15,'Ex ante LI &amp; Eligibility Stats'!$A:$A,0),MATCH('Program MW '!I$6,'Ex ante LI &amp; Eligibility Stats'!$A$8:$M$8,0))/1000)</f>
        <v>0</v>
      </c>
      <c r="J15" s="328">
        <f>H15*(INDEX('Ex post LI &amp; Eligibility Stats'!$A:$N,MATCH($A15,'Ex post LI &amp; Eligibility Stats'!$A:$A,0),MATCH('Program MW '!I$6,'Ex post LI &amp; Eligibility Stats'!$A$8:$N$8,0))/1000)</f>
        <v>0.12431036806106567</v>
      </c>
      <c r="K15" s="159">
        <v>268</v>
      </c>
      <c r="L15" s="327">
        <f>K15*(INDEX('Ex ante LI &amp; Eligibility Stats'!$A:$M,MATCH('Program MW '!$A15,'Ex ante LI &amp; Eligibility Stats'!$A:$A,0),MATCH('Program MW '!L$6,'Ex ante LI &amp; Eligibility Stats'!$A$8:$M$8,0))/1000)</f>
        <v>9.207833182811738E-2</v>
      </c>
      <c r="M15" s="328">
        <f>K15*(INDEX('Ex post LI &amp; Eligibility Stats'!$A:$N,MATCH($A15,'Ex post LI &amp; Eligibility Stats'!$A:$A,0),MATCH('Program MW '!L$6,'Ex post LI &amp; Eligibility Stats'!$A$8:$N$8,0))/1000)</f>
        <v>0.12431036806106567</v>
      </c>
      <c r="N15" s="159">
        <v>0</v>
      </c>
      <c r="O15" s="327">
        <f>N15*(INDEX('Ex ante LI &amp; Eligibility Stats'!$A:$M,MATCH('Program MW '!$A15,'Ex ante LI &amp; Eligibility Stats'!$A:$A,0),MATCH('Program MW '!O$6,'Ex ante LI &amp; Eligibility Stats'!$A$8:$M$8,0))/1000)</f>
        <v>0</v>
      </c>
      <c r="P15" s="328">
        <f>N15*(INDEX('Ex post LI &amp; Eligibility Stats'!$A:$N,MATCH($A15,'Ex post LI &amp; Eligibility Stats'!$A:$A,0),MATCH('Program MW '!O$6,'Ex post LI &amp; Eligibility Stats'!$A$8:$N$8,0))/1000)</f>
        <v>0</v>
      </c>
      <c r="Q15" s="159">
        <v>0</v>
      </c>
      <c r="R15" s="327">
        <f>Q15*(INDEX('Ex ante LI &amp; Eligibility Stats'!$A:$M,MATCH('Program MW '!$A15,'Ex ante LI &amp; Eligibility Stats'!$A:$A,0),MATCH('Program MW '!R$6,'Ex ante LI &amp; Eligibility Stats'!$A$8:$M$8,0))/1000)</f>
        <v>0</v>
      </c>
      <c r="S15" s="328">
        <f>Q15*(INDEX('Ex post LI &amp; Eligibility Stats'!$A:$N,MATCH($A15,'Ex post LI &amp; Eligibility Stats'!$A:$A,0),MATCH('Program MW '!R$6,'Ex post LI &amp; Eligibility Stats'!$A$8:$N$8,0))/1000)</f>
        <v>0</v>
      </c>
      <c r="T15" s="4"/>
      <c r="U15" s="6"/>
      <c r="V15" s="6"/>
      <c r="W15" s="6"/>
      <c r="X15" s="6"/>
      <c r="Y15" s="6"/>
      <c r="Z15" s="6"/>
      <c r="AA15" s="6"/>
      <c r="AB15" s="6"/>
      <c r="AC15" s="6"/>
      <c r="AD15" s="6"/>
      <c r="AE15" s="6"/>
    </row>
    <row r="16" spans="1:31">
      <c r="A16" s="271" t="s">
        <v>21</v>
      </c>
      <c r="B16" s="385">
        <v>10225</v>
      </c>
      <c r="C16" s="327">
        <f>B16*(INDEX('Ex ante LI &amp; Eligibility Stats'!$A:$M,MATCH($A16,'Ex ante LI &amp; Eligibility Stats'!$A:$A,0),MATCH('Program MW '!C$6,'Ex ante LI &amp; Eligibility Stats'!$A$8:$M$8,0))/1000)</f>
        <v>0</v>
      </c>
      <c r="D16" s="328">
        <f>B16*(INDEX('Ex post LI &amp; Eligibility Stats'!$A:$N,MATCH($A16,'Ex post LI &amp; Eligibility Stats'!$A:$A,0),MATCH('Program MW '!C$6,'Ex post LI &amp; Eligibility Stats'!$A$8:$N$8,0))/1000)</f>
        <v>1.3292500000000003</v>
      </c>
      <c r="E16" s="385">
        <v>10185</v>
      </c>
      <c r="F16" s="327">
        <f>E16*(INDEX('Ex ante LI &amp; Eligibility Stats'!$A:$M,MATCH($A16,'Ex ante LI &amp; Eligibility Stats'!$A:$A,0),MATCH('Program MW '!F$6,'Ex ante LI &amp; Eligibility Stats'!$A$8:$M$8,0))/1000)</f>
        <v>0</v>
      </c>
      <c r="G16" s="328">
        <f>E16*(INDEX('Ex post LI &amp; Eligibility Stats'!$A:$N,MATCH($A16,'Ex post LI &amp; Eligibility Stats'!$A:$A,0),MATCH('Program MW '!F$6,'Ex post LI &amp; Eligibility Stats'!$A$8:$N$8,0))/1000)</f>
        <v>1.3240500000000002</v>
      </c>
      <c r="H16" s="385">
        <v>10091</v>
      </c>
      <c r="I16" s="327">
        <f>H16*(INDEX('Ex ante LI &amp; Eligibility Stats'!$A:$M,MATCH('Program MW '!$A16,'Ex ante LI &amp; Eligibility Stats'!$A:$A,0),MATCH('Program MW '!I$6,'Ex ante LI &amp; Eligibility Stats'!$A$8:$M$8,0))/1000)</f>
        <v>0</v>
      </c>
      <c r="J16" s="328">
        <f>H16*(INDEX('Ex post LI &amp; Eligibility Stats'!$A:$N,MATCH($A16,'Ex post LI &amp; Eligibility Stats'!$A:$A,0),MATCH('Program MW '!I$6,'Ex post LI &amp; Eligibility Stats'!$A$8:$N$8,0))/1000)</f>
        <v>1.3535956399000002</v>
      </c>
      <c r="K16" s="671">
        <v>9815</v>
      </c>
      <c r="L16" s="327">
        <f>K16*(INDEX('Ex ante LI &amp; Eligibility Stats'!$A:$M,MATCH('Program MW '!$A16,'Ex ante LI &amp; Eligibility Stats'!$A:$A,0),MATCH('Program MW '!L$6,'Ex ante LI &amp; Eligibility Stats'!$A$8:$M$8,0))/1000)</f>
        <v>0.27112955999999999</v>
      </c>
      <c r="M16" s="328">
        <f>K16*(INDEX('Ex post LI &amp; Eligibility Stats'!$A:$N,MATCH($A16,'Ex post LI &amp; Eligibility Stats'!$A:$A,0),MATCH('Program MW '!L$6,'Ex post LI &amp; Eligibility Stats'!$A$8:$N$8,0))/1000)</f>
        <v>1.3165733035000002</v>
      </c>
      <c r="N16" s="385">
        <v>0</v>
      </c>
      <c r="O16" s="327">
        <f>N16*(INDEX('Ex ante LI &amp; Eligibility Stats'!$A:$M,MATCH('Program MW '!$A16,'Ex ante LI &amp; Eligibility Stats'!$A:$A,0),MATCH('Program MW '!O$6,'Ex ante LI &amp; Eligibility Stats'!$A$8:$M$8,0))/1000)</f>
        <v>0</v>
      </c>
      <c r="P16" s="328">
        <f>N16*(INDEX('Ex post LI &amp; Eligibility Stats'!$A:$N,MATCH($A16,'Ex post LI &amp; Eligibility Stats'!$A:$A,0),MATCH('Program MW '!O$6,'Ex post LI &amp; Eligibility Stats'!$A$8:$N$8,0))/1000)</f>
        <v>0</v>
      </c>
      <c r="Q16" s="385">
        <v>0</v>
      </c>
      <c r="R16" s="327">
        <f>Q16*(INDEX('Ex ante LI &amp; Eligibility Stats'!$A:$M,MATCH('Program MW '!$A16,'Ex ante LI &amp; Eligibility Stats'!$A:$A,0),MATCH('Program MW '!R$6,'Ex ante LI &amp; Eligibility Stats'!$A$8:$M$8,0))/1000)</f>
        <v>0</v>
      </c>
      <c r="S16" s="328">
        <f>Q16*(INDEX('Ex post LI &amp; Eligibility Stats'!$A:$N,MATCH($A16,'Ex post LI &amp; Eligibility Stats'!$A:$A,0),MATCH('Program MW '!R$6,'Ex post LI &amp; Eligibility Stats'!$A$8:$N$8,0))/1000)</f>
        <v>0</v>
      </c>
      <c r="T16" s="4">
        <v>157189</v>
      </c>
      <c r="U16" s="6"/>
      <c r="V16" s="6"/>
      <c r="W16" s="6"/>
      <c r="X16" s="6"/>
      <c r="Y16" s="6"/>
      <c r="Z16" s="6"/>
      <c r="AA16" s="6"/>
      <c r="AB16" s="6"/>
      <c r="AC16" s="6"/>
      <c r="AD16" s="6"/>
      <c r="AE16" s="6"/>
    </row>
    <row r="17" spans="1:31">
      <c r="A17" s="271" t="s">
        <v>23</v>
      </c>
      <c r="B17" s="385">
        <v>2652</v>
      </c>
      <c r="C17" s="327">
        <f>B17*(INDEX('Ex ante LI &amp; Eligibility Stats'!$A:$M,MATCH($A17,'Ex ante LI &amp; Eligibility Stats'!$A:$A,0),MATCH('Program MW '!C$6,'Ex ante LI &amp; Eligibility Stats'!$A$8:$M$8,0))/1000)</f>
        <v>0</v>
      </c>
      <c r="D17" s="328">
        <f>B17*(INDEX('Ex post LI &amp; Eligibility Stats'!$A:$N,MATCH($A17,'Ex post LI &amp; Eligibility Stats'!$A:$A,0),MATCH('Program MW '!C$6,'Ex post LI &amp; Eligibility Stats'!$A$8:$N$8,0))/1000)</f>
        <v>0.1326</v>
      </c>
      <c r="E17" s="385">
        <v>2648</v>
      </c>
      <c r="F17" s="327">
        <f>E17*(INDEX('Ex ante LI &amp; Eligibility Stats'!$A:$M,MATCH($A17,'Ex ante LI &amp; Eligibility Stats'!$A:$A,0),MATCH('Program MW '!F$6,'Ex ante LI &amp; Eligibility Stats'!$A$8:$M$8,0))/1000)</f>
        <v>0</v>
      </c>
      <c r="G17" s="328">
        <f>E17*(INDEX('Ex post LI &amp; Eligibility Stats'!$A:$N,MATCH($A17,'Ex post LI &amp; Eligibility Stats'!$A:$A,0),MATCH('Program MW '!F$6,'Ex post LI &amp; Eligibility Stats'!$A$8:$N$8,0))/1000)</f>
        <v>0.13240000000000002</v>
      </c>
      <c r="H17" s="385">
        <v>2627</v>
      </c>
      <c r="I17" s="327">
        <f>H17*(INDEX('Ex ante LI &amp; Eligibility Stats'!$A:$M,MATCH('Program MW '!$A17,'Ex ante LI &amp; Eligibility Stats'!$A:$A,0),MATCH('Program MW '!I$6,'Ex ante LI &amp; Eligibility Stats'!$A$8:$M$8,0))/1000)</f>
        <v>0</v>
      </c>
      <c r="J17" s="328">
        <f>H17*(INDEX('Ex post LI &amp; Eligibility Stats'!$A:$N,MATCH($A17,'Ex post LI &amp; Eligibility Stats'!$A:$A,0),MATCH('Program MW '!I$6,'Ex post LI &amp; Eligibility Stats'!$A$8:$N$8,0))/1000)</f>
        <v>0.1296274761</v>
      </c>
      <c r="K17" s="671">
        <v>2774</v>
      </c>
      <c r="L17" s="327">
        <f>K17*(INDEX('Ex ante LI &amp; Eligibility Stats'!$A:$M,MATCH('Program MW '!$A17,'Ex ante LI &amp; Eligibility Stats'!$A:$A,0),MATCH('Program MW '!L$6,'Ex ante LI &amp; Eligibility Stats'!$A$8:$M$8,0))/1000)</f>
        <v>0.15616732319999999</v>
      </c>
      <c r="M17" s="328">
        <f>K17*(INDEX('Ex post LI &amp; Eligibility Stats'!$A:$N,MATCH($A17,'Ex post LI &amp; Eligibility Stats'!$A:$A,0),MATCH('Program MW '!L$6,'Ex post LI &amp; Eligibility Stats'!$A$8:$N$8,0))/1000)</f>
        <v>0.1368810882</v>
      </c>
      <c r="N17" s="385">
        <v>0</v>
      </c>
      <c r="O17" s="327">
        <f>N17*(INDEX('Ex ante LI &amp; Eligibility Stats'!$A:$M,MATCH('Program MW '!$A17,'Ex ante LI &amp; Eligibility Stats'!$A:$A,0),MATCH('Program MW '!O$6,'Ex ante LI &amp; Eligibility Stats'!$A$8:$M$8,0))/1000)</f>
        <v>0</v>
      </c>
      <c r="P17" s="328">
        <f>N17*(INDEX('Ex post LI &amp; Eligibility Stats'!$A:$N,MATCH($A17,'Ex post LI &amp; Eligibility Stats'!$A:$A,0),MATCH('Program MW '!O$6,'Ex post LI &amp; Eligibility Stats'!$A$8:$N$8,0))/1000)</f>
        <v>0</v>
      </c>
      <c r="Q17" s="385">
        <v>0</v>
      </c>
      <c r="R17" s="327">
        <f>Q17*(INDEX('Ex ante LI &amp; Eligibility Stats'!$A:$M,MATCH('Program MW '!$A17,'Ex ante LI &amp; Eligibility Stats'!$A:$A,0),MATCH('Program MW '!R$6,'Ex ante LI &amp; Eligibility Stats'!$A$8:$M$8,0))/1000)</f>
        <v>0</v>
      </c>
      <c r="S17" s="328">
        <f>Q17*(INDEX('Ex post LI &amp; Eligibility Stats'!$A:$N,MATCH($A17,'Ex post LI &amp; Eligibility Stats'!$A:$A,0),MATCH('Program MW '!R$6,'Ex post LI &amp; Eligibility Stats'!$A$8:$N$8,0))/1000)</f>
        <v>0</v>
      </c>
      <c r="T17" s="4">
        <v>157189</v>
      </c>
      <c r="U17" s="6"/>
      <c r="V17" s="6"/>
      <c r="W17" s="6"/>
      <c r="X17" s="6"/>
      <c r="Y17" s="6"/>
      <c r="Z17" s="6"/>
      <c r="AA17" s="6"/>
      <c r="AB17" s="6"/>
      <c r="AC17" s="6"/>
      <c r="AD17" s="6"/>
      <c r="AE17" s="6"/>
    </row>
    <row r="18" spans="1:31">
      <c r="A18" s="156" t="s">
        <v>24</v>
      </c>
      <c r="B18" s="159">
        <v>0</v>
      </c>
      <c r="C18" s="327">
        <f>B18*(INDEX('Ex ante LI &amp; Eligibility Stats'!$A:$M,MATCH($A18,'Ex ante LI &amp; Eligibility Stats'!$A:$A,0),MATCH('Program MW '!C$6,'Ex ante LI &amp; Eligibility Stats'!$A$8:$M$8,0))/1000)</f>
        <v>0</v>
      </c>
      <c r="D18" s="328">
        <f>B18*(INDEX('Ex post LI &amp; Eligibility Stats'!$A:$N,MATCH($A18,'Ex post LI &amp; Eligibility Stats'!$A:$A,0),MATCH('Program MW '!C$6,'Ex post LI &amp; Eligibility Stats'!$A$8:$N$8,0))/1000)</f>
        <v>0</v>
      </c>
      <c r="E18" s="159">
        <v>0</v>
      </c>
      <c r="F18" s="327">
        <f>E18*(INDEX('Ex ante LI &amp; Eligibility Stats'!$A:$M,MATCH($A18,'Ex ante LI &amp; Eligibility Stats'!$A:$A,0),MATCH('Program MW '!F$6,'Ex ante LI &amp; Eligibility Stats'!$A$8:$M$8,0))/1000)</f>
        <v>0</v>
      </c>
      <c r="G18" s="328">
        <f>E18*(INDEX('Ex post LI &amp; Eligibility Stats'!$A:$N,MATCH($A18,'Ex post LI &amp; Eligibility Stats'!$A:$A,0),MATCH('Program MW '!F$6,'Ex post LI &amp; Eligibility Stats'!$A$8:$N$8,0))/1000)</f>
        <v>0</v>
      </c>
      <c r="H18" s="159">
        <v>0</v>
      </c>
      <c r="I18" s="327">
        <f>H18*(INDEX('Ex ante LI &amp; Eligibility Stats'!$A:$M,MATCH('Program MW '!$A18,'Ex ante LI &amp; Eligibility Stats'!$A:$A,0),MATCH('Program MW '!I$6,'Ex ante LI &amp; Eligibility Stats'!$A$8:$M$8,0))/1000)</f>
        <v>0</v>
      </c>
      <c r="J18" s="328">
        <f>H18*(INDEX('Ex post LI &amp; Eligibility Stats'!$A:$N,MATCH($A18,'Ex post LI &amp; Eligibility Stats'!$A:$A,0),MATCH('Program MW '!I$6,'Ex post LI &amp; Eligibility Stats'!$A$8:$N$8,0))/1000)</f>
        <v>0</v>
      </c>
      <c r="K18" s="159">
        <v>0</v>
      </c>
      <c r="L18" s="327">
        <f>K18*(INDEX('Ex ante LI &amp; Eligibility Stats'!$A:$M,MATCH('Program MW '!$A18,'Ex ante LI &amp; Eligibility Stats'!$A:$A,0),MATCH('Program MW '!L$6,'Ex ante LI &amp; Eligibility Stats'!$A$8:$M$8,0))/1000)</f>
        <v>0</v>
      </c>
      <c r="M18" s="328">
        <f>K18*(INDEX('Ex post LI &amp; Eligibility Stats'!$A:$N,MATCH($A18,'Ex post LI &amp; Eligibility Stats'!$A:$A,0),MATCH('Program MW '!L$6,'Ex post LI &amp; Eligibility Stats'!$A$8:$N$8,0))/1000)</f>
        <v>0</v>
      </c>
      <c r="N18" s="159">
        <v>0</v>
      </c>
      <c r="O18" s="327">
        <f>N18*(INDEX('Ex ante LI &amp; Eligibility Stats'!$A:$M,MATCH('Program MW '!$A18,'Ex ante LI &amp; Eligibility Stats'!$A:$A,0),MATCH('Program MW '!O$6,'Ex ante LI &amp; Eligibility Stats'!$A$8:$M$8,0))/1000)</f>
        <v>0</v>
      </c>
      <c r="P18" s="328">
        <f>N18*(INDEX('Ex post LI &amp; Eligibility Stats'!$A:$N,MATCH($A18,'Ex post LI &amp; Eligibility Stats'!$A:$A,0),MATCH('Program MW '!O$6,'Ex post LI &amp; Eligibility Stats'!$A$8:$N$8,0))/1000)</f>
        <v>0</v>
      </c>
      <c r="Q18" s="159">
        <v>0</v>
      </c>
      <c r="R18" s="327">
        <f>Q18*(INDEX('Ex ante LI &amp; Eligibility Stats'!$A:$M,MATCH('Program MW '!$A18,'Ex ante LI &amp; Eligibility Stats'!$A:$A,0),MATCH('Program MW '!R$6,'Ex ante LI &amp; Eligibility Stats'!$A$8:$M$8,0))/1000)</f>
        <v>0</v>
      </c>
      <c r="S18" s="328">
        <f>Q18*(INDEX('Ex post LI &amp; Eligibility Stats'!$A:$N,MATCH($A18,'Ex post LI &amp; Eligibility Stats'!$A:$A,0),MATCH('Program MW '!R$6,'Ex post LI &amp; Eligibility Stats'!$A$8:$N$8,0))/1000)</f>
        <v>0</v>
      </c>
      <c r="T18" s="4">
        <v>18875</v>
      </c>
      <c r="U18" s="6"/>
      <c r="V18" s="6"/>
      <c r="W18" s="6"/>
      <c r="X18" s="6"/>
      <c r="Y18" s="6"/>
      <c r="Z18" s="6"/>
      <c r="AA18" s="6"/>
      <c r="AB18" s="6"/>
      <c r="AC18" s="6"/>
      <c r="AD18" s="6"/>
      <c r="AE18" s="6"/>
    </row>
    <row r="19" spans="1:31">
      <c r="A19" s="156" t="s">
        <v>25</v>
      </c>
      <c r="B19" s="159">
        <v>0</v>
      </c>
      <c r="C19" s="327">
        <f>B19*(INDEX('Ex ante LI &amp; Eligibility Stats'!$A:$M,MATCH($A19,'Ex ante LI &amp; Eligibility Stats'!$A:$A,0),MATCH('Program MW '!C$6,'Ex ante LI &amp; Eligibility Stats'!$A$8:$M$8,0))/1000)</f>
        <v>0</v>
      </c>
      <c r="D19" s="328">
        <f>B19*(INDEX('Ex post LI &amp; Eligibility Stats'!$A:$N,MATCH($A19,'Ex post LI &amp; Eligibility Stats'!$A:$A,0),MATCH('Program MW '!C$6,'Ex post LI &amp; Eligibility Stats'!$A$8:$N$8,0))/1000)</f>
        <v>0</v>
      </c>
      <c r="E19" s="159">
        <v>0</v>
      </c>
      <c r="F19" s="327">
        <f>E19*(INDEX('Ex ante LI &amp; Eligibility Stats'!$A:$M,MATCH($A19,'Ex ante LI &amp; Eligibility Stats'!$A:$A,0),MATCH('Program MW '!F$6,'Ex ante LI &amp; Eligibility Stats'!$A$8:$M$8,0))/1000)</f>
        <v>0</v>
      </c>
      <c r="G19" s="328">
        <f>E19*(INDEX('Ex post LI &amp; Eligibility Stats'!$A:$N,MATCH($A19,'Ex post LI &amp; Eligibility Stats'!$A:$A,0),MATCH('Program MW '!F$6,'Ex post LI &amp; Eligibility Stats'!$A$8:$N$8,0))/1000)</f>
        <v>0</v>
      </c>
      <c r="H19" s="159">
        <v>0</v>
      </c>
      <c r="I19" s="327">
        <f>H19*(INDEX('Ex ante LI &amp; Eligibility Stats'!$A:$M,MATCH('Program MW '!$A19,'Ex ante LI &amp; Eligibility Stats'!$A:$A,0),MATCH('Program MW '!I$6,'Ex ante LI &amp; Eligibility Stats'!$A$8:$M$8,0))/1000)</f>
        <v>0</v>
      </c>
      <c r="J19" s="328">
        <f>H19*(INDEX('Ex post LI &amp; Eligibility Stats'!$A:$N,MATCH($A19,'Ex post LI &amp; Eligibility Stats'!$A:$A,0),MATCH('Program MW '!I$6,'Ex post LI &amp; Eligibility Stats'!$A$8:$N$8,0))/1000)</f>
        <v>0</v>
      </c>
      <c r="K19" s="159">
        <v>0</v>
      </c>
      <c r="L19" s="327">
        <f>K19*(INDEX('Ex ante LI &amp; Eligibility Stats'!$A:$M,MATCH('Program MW '!$A19,'Ex ante LI &amp; Eligibility Stats'!$A:$A,0),MATCH('Program MW '!L$6,'Ex ante LI &amp; Eligibility Stats'!$A$8:$M$8,0))/1000)</f>
        <v>0</v>
      </c>
      <c r="M19" s="328">
        <f>K19*(INDEX('Ex post LI &amp; Eligibility Stats'!$A:$N,MATCH($A19,'Ex post LI &amp; Eligibility Stats'!$A:$A,0),MATCH('Program MW '!L$6,'Ex post LI &amp; Eligibility Stats'!$A$8:$N$8,0))/1000)</f>
        <v>0</v>
      </c>
      <c r="N19" s="159">
        <v>0</v>
      </c>
      <c r="O19" s="327">
        <f>N19*(INDEX('Ex ante LI &amp; Eligibility Stats'!$A:$M,MATCH('Program MW '!$A19,'Ex ante LI &amp; Eligibility Stats'!$A:$A,0),MATCH('Program MW '!O$6,'Ex ante LI &amp; Eligibility Stats'!$A$8:$M$8,0))/1000)</f>
        <v>0</v>
      </c>
      <c r="P19" s="328">
        <f>N19*(INDEX('Ex post LI &amp; Eligibility Stats'!$A:$N,MATCH($A19,'Ex post LI &amp; Eligibility Stats'!$A:$A,0),MATCH('Program MW '!O$6,'Ex post LI &amp; Eligibility Stats'!$A$8:$N$8,0))/1000)</f>
        <v>0</v>
      </c>
      <c r="Q19" s="159">
        <v>0</v>
      </c>
      <c r="R19" s="327">
        <f>Q19*(INDEX('Ex ante LI &amp; Eligibility Stats'!$A:$M,MATCH('Program MW '!$A19,'Ex ante LI &amp; Eligibility Stats'!$A:$A,0),MATCH('Program MW '!R$6,'Ex ante LI &amp; Eligibility Stats'!$A$8:$M$8,0))/1000)</f>
        <v>0</v>
      </c>
      <c r="S19" s="328">
        <f>Q19*(INDEX('Ex post LI &amp; Eligibility Stats'!$A:$N,MATCH($A19,'Ex post LI &amp; Eligibility Stats'!$A:$A,0),MATCH('Program MW '!R$6,'Ex post LI &amp; Eligibility Stats'!$A$8:$N$8,0))/1000)</f>
        <v>0</v>
      </c>
      <c r="T19" s="4">
        <v>18875</v>
      </c>
      <c r="U19" s="6"/>
      <c r="V19" s="6"/>
      <c r="W19" s="6"/>
      <c r="X19" s="6"/>
      <c r="Y19" s="6"/>
      <c r="Z19" s="6"/>
      <c r="AA19" s="6"/>
      <c r="AB19" s="6"/>
      <c r="AC19" s="6"/>
      <c r="AD19" s="6"/>
      <c r="AE19" s="6"/>
    </row>
    <row r="20" spans="1:31" s="152" customFormat="1">
      <c r="A20" s="271" t="s">
        <v>55</v>
      </c>
      <c r="B20" s="206">
        <v>94</v>
      </c>
      <c r="C20" s="327">
        <v>0</v>
      </c>
      <c r="D20" s="328">
        <v>0</v>
      </c>
      <c r="E20" s="206">
        <v>94</v>
      </c>
      <c r="F20" s="327" t="s">
        <v>56</v>
      </c>
      <c r="G20" s="328" t="s">
        <v>56</v>
      </c>
      <c r="H20" s="206">
        <v>92</v>
      </c>
      <c r="I20" s="672">
        <f>H20*(INDEX('Ex ante LI &amp; Eligibility Stats'!$A:$M,MATCH('Program MW '!$A20,'Ex ante LI &amp; Eligibility Stats'!$A:$A,0),MATCH('Program MW '!I$6,'Ex ante LI &amp; Eligibility Stats'!$A$8:$M$8,0))/1000)</f>
        <v>7.8712055087089533E-4</v>
      </c>
      <c r="J20" s="328">
        <f>H20*(INDEX('Ex post LI &amp; Eligibility Stats'!$A:$N,MATCH($A20,'Ex post LI &amp; Eligibility Stats'!$A:$A,0),MATCH('Program MW '!I$6,'Ex post LI &amp; Eligibility Stats'!$A$8:$N$8,0))/1000)</f>
        <v>4.3654910326004027E-2</v>
      </c>
      <c r="K20" s="671">
        <v>91</v>
      </c>
      <c r="L20" s="327">
        <f>K20*(INDEX('Ex ante LI &amp; Eligibility Stats'!$A:$M,MATCH('Program MW '!$A20,'Ex ante LI &amp; Eligibility Stats'!$A:$A,0),MATCH('Program MW '!L$6,'Ex ante LI &amp; Eligibility Stats'!$A$8:$M$8,0))/1000)</f>
        <v>0</v>
      </c>
      <c r="M20" s="328">
        <f>K20*(INDEX('Ex post LI &amp; Eligibility Stats'!$A:$N,MATCH($A20,'Ex post LI &amp; Eligibility Stats'!$A:$A,0),MATCH('Program MW '!L$6,'Ex post LI &amp; Eligibility Stats'!$A$8:$N$8,0))/1000)</f>
        <v>4.318040043115616E-2</v>
      </c>
      <c r="N20" s="206">
        <v>0</v>
      </c>
      <c r="O20" s="327">
        <f>N20*(INDEX('Ex ante LI &amp; Eligibility Stats'!$A:$M,MATCH('Program MW '!$A20,'Ex ante LI &amp; Eligibility Stats'!$A:$A,0),MATCH('Program MW '!O$6,'Ex ante LI &amp; Eligibility Stats'!$A$8:$M$8,0))/1000)</f>
        <v>0</v>
      </c>
      <c r="P20" s="328">
        <f>N20*(INDEX('Ex post LI &amp; Eligibility Stats'!$A:$N,MATCH($A20,'Ex post LI &amp; Eligibility Stats'!$A:$A,0),MATCH('Program MW '!O$6,'Ex post LI &amp; Eligibility Stats'!$A$8:$N$8,0))/1000)</f>
        <v>0</v>
      </c>
      <c r="Q20" s="206">
        <v>0</v>
      </c>
      <c r="R20" s="327">
        <f>Q20*(INDEX('Ex ante LI &amp; Eligibility Stats'!$A:$M,MATCH('Program MW '!$A20,'Ex ante LI &amp; Eligibility Stats'!$A:$A,0),MATCH('Program MW '!R$6,'Ex ante LI &amp; Eligibility Stats'!$A$8:$M$8,0))/1000)</f>
        <v>0</v>
      </c>
      <c r="S20" s="328">
        <f>Q20*(INDEX('Ex post LI &amp; Eligibility Stats'!$A:$N,MATCH($A20,'Ex post LI &amp; Eligibility Stats'!$A:$A,0),MATCH('Program MW '!R$6,'Ex post LI &amp; Eligibility Stats'!$A$8:$N$8,0))/1000)</f>
        <v>0</v>
      </c>
      <c r="T20" s="413"/>
      <c r="U20" s="414"/>
      <c r="V20" s="414"/>
      <c r="W20" s="414"/>
      <c r="X20" s="414"/>
      <c r="Y20" s="414"/>
      <c r="Z20" s="414"/>
      <c r="AA20" s="414"/>
      <c r="AB20" s="414"/>
      <c r="AC20" s="414"/>
      <c r="AD20" s="414"/>
      <c r="AE20" s="414"/>
    </row>
    <row r="21" spans="1:31">
      <c r="A21" s="156" t="s">
        <v>26</v>
      </c>
      <c r="B21" s="159">
        <v>17743</v>
      </c>
      <c r="C21" s="327">
        <f>B21*(INDEX('Ex ante LI &amp; Eligibility Stats'!$A:$M,MATCH($A21,'Ex ante LI &amp; Eligibility Stats'!$A:$A,0),MATCH('Program MW '!C$6,'Ex ante LI &amp; Eligibility Stats'!$A$8:$M$8,0))/1000)</f>
        <v>0.17743</v>
      </c>
      <c r="D21" s="328">
        <f>B21*(INDEX('Ex post LI &amp; Eligibility Stats'!$A:$N,MATCH($A21,'Ex post LI &amp; Eligibility Stats'!$A:$A,0),MATCH('Program MW '!C$6,'Ex post LI &amp; Eligibility Stats'!$A$8:$N$8,0))/1000)</f>
        <v>0.88714999999999999</v>
      </c>
      <c r="E21" s="159">
        <v>18502</v>
      </c>
      <c r="F21" s="327">
        <f>E21*(INDEX('Ex ante LI &amp; Eligibility Stats'!$A:$M,MATCH($A21,'Ex ante LI &amp; Eligibility Stats'!$A:$A,0),MATCH('Program MW '!F$6,'Ex ante LI &amp; Eligibility Stats'!$A$8:$M$8,0))/1000)</f>
        <v>0.18502000000000002</v>
      </c>
      <c r="G21" s="328">
        <f>E21*(INDEX('Ex post LI &amp; Eligibility Stats'!$A:$N,MATCH($A21,'Ex post LI &amp; Eligibility Stats'!$A:$A,0),MATCH('Program MW '!F$6,'Ex post LI &amp; Eligibility Stats'!$A$8:$N$8,0))/1000)</f>
        <v>0.92510000000000003</v>
      </c>
      <c r="H21" s="159">
        <v>19323</v>
      </c>
      <c r="I21" s="673">
        <f>H21*(INDEX('Ex ante LI &amp; Eligibility Stats'!$A:$M,MATCH('Program MW '!$A21,'Ex ante LI &amp; Eligibility Stats'!$A:$A,0),MATCH('Program MW '!I$6,'Ex ante LI &amp; Eligibility Stats'!$A$8:$M$8,0))/1000)</f>
        <v>2.0116550958380491E-3</v>
      </c>
      <c r="J21" s="328">
        <f>H21*(INDEX('Ex post LI &amp; Eligibility Stats'!$A:$N,MATCH($A21,'Ex post LI &amp; Eligibility Stats'!$A:$A,0),MATCH('Program MW '!I$6,'Ex post LI &amp; Eligibility Stats'!$A$8:$N$8,0))/1000)</f>
        <v>0.96545821129729859</v>
      </c>
      <c r="K21" s="671">
        <v>16109</v>
      </c>
      <c r="L21" s="327">
        <f>K21*(INDEX('Ex ante LI &amp; Eligibility Stats'!$A:$M,MATCH('Program MW '!$A21,'Ex ante LI &amp; Eligibility Stats'!$A:$A,0),MATCH('Program MW '!L$6,'Ex ante LI &amp; Eligibility Stats'!$A$8:$M$8,0))/1000)</f>
        <v>1.1831353974535091E-2</v>
      </c>
      <c r="M21" s="328">
        <f>K21*(INDEX('Ex post LI &amp; Eligibility Stats'!$A:$N,MATCH($A21,'Ex post LI &amp; Eligibility Stats'!$A:$A,0),MATCH('Program MW '!L$6,'Ex post LI &amp; Eligibility Stats'!$A$8:$N$8,0))/1000)</f>
        <v>0.80487327670590403</v>
      </c>
      <c r="N21" s="159">
        <v>0</v>
      </c>
      <c r="O21" s="327">
        <f>N21*(INDEX('Ex ante LI &amp; Eligibility Stats'!$A:$M,MATCH('Program MW '!$A21,'Ex ante LI &amp; Eligibility Stats'!$A:$A,0),MATCH('Program MW '!O$6,'Ex ante LI &amp; Eligibility Stats'!$A$8:$M$8,0))/1000)</f>
        <v>0</v>
      </c>
      <c r="P21" s="328">
        <f>N21*(INDEX('Ex post LI &amp; Eligibility Stats'!$A:$N,MATCH($A21,'Ex post LI &amp; Eligibility Stats'!$A:$A,0),MATCH('Program MW '!O$6,'Ex post LI &amp; Eligibility Stats'!$A$8:$N$8,0))/1000)</f>
        <v>0</v>
      </c>
      <c r="Q21" s="159">
        <v>0</v>
      </c>
      <c r="R21" s="327">
        <f>Q21*(INDEX('Ex ante LI &amp; Eligibility Stats'!$A:$M,MATCH('Program MW '!$A21,'Ex ante LI &amp; Eligibility Stats'!$A:$A,0),MATCH('Program MW '!R$6,'Ex ante LI &amp; Eligibility Stats'!$A$8:$M$8,0))/1000)</f>
        <v>0</v>
      </c>
      <c r="S21" s="328">
        <f>Q21*(INDEX('Ex post LI &amp; Eligibility Stats'!$A:$N,MATCH($A21,'Ex post LI &amp; Eligibility Stats'!$A:$A,0),MATCH('Program MW '!R$6,'Ex post LI &amp; Eligibility Stats'!$A$8:$N$8,0))/1000)</f>
        <v>0</v>
      </c>
      <c r="T21" s="4"/>
      <c r="U21" s="6"/>
      <c r="V21" s="6"/>
      <c r="W21" s="6"/>
      <c r="X21" s="6"/>
      <c r="Y21" s="6"/>
      <c r="Z21" s="6"/>
      <c r="AA21" s="6"/>
      <c r="AB21" s="6"/>
      <c r="AC21" s="6"/>
      <c r="AD21" s="6"/>
      <c r="AE21" s="6"/>
    </row>
    <row r="22" spans="1:31">
      <c r="A22" s="228" t="s">
        <v>27</v>
      </c>
      <c r="B22" s="270">
        <v>111812</v>
      </c>
      <c r="C22" s="329">
        <f>B22*(INDEX('Ex ante LI &amp; Eligibility Stats'!$A:$M,MATCH($A22,'Ex ante LI &amp; Eligibility Stats'!$A:$A,0),MATCH('Program MW '!C$6,'Ex ante LI &amp; Eligibility Stats'!$A$8:$M$8,0))/1000)</f>
        <v>4.327015207260847</v>
      </c>
      <c r="D22" s="330">
        <f>B22*(INDEX('Ex post LI &amp; Eligibility Stats'!$A:$N,MATCH($A22,'Ex post LI &amp; Eligibility Stats'!$A:$A,0),MATCH('Program MW '!C$6,'Ex post LI &amp; Eligibility Stats'!$A$8:$N$8,0))/1000)</f>
        <v>19.008040000000001</v>
      </c>
      <c r="E22" s="270">
        <v>111739</v>
      </c>
      <c r="F22" s="592">
        <f>E22*(INDEX('Ex ante LI &amp; Eligibility Stats'!$A:$M,MATCH($A22,'Ex ante LI &amp; Eligibility Stats'!$A:$A,0),MATCH('Program MW '!F$6,'Ex ante LI &amp; Eligibility Stats'!$A$8:$M$8,0))/1000)</f>
        <v>3.8396224975138904</v>
      </c>
      <c r="G22" s="328">
        <f>E22*(INDEX('Ex post LI &amp; Eligibility Stats'!$A:$N,MATCH($A22,'Ex post LI &amp; Eligibility Stats'!$A:$A,0),MATCH('Program MW '!F$6,'Ex post LI &amp; Eligibility Stats'!$A$8:$N$8,0))/1000)</f>
        <v>18.995630000000002</v>
      </c>
      <c r="H22" s="270">
        <v>111470</v>
      </c>
      <c r="I22" s="327">
        <f>H22*(INDEX('Ex ante LI &amp; Eligibility Stats'!$A:$M,MATCH('Program MW '!$A22,'Ex ante LI &amp; Eligibility Stats'!$A:$A,0),MATCH('Program MW '!I$6,'Ex ante LI &amp; Eligibility Stats'!$A$8:$M$8,0))/1000)</f>
        <v>4.7142752863180295</v>
      </c>
      <c r="J22" s="328">
        <f>H22*(INDEX('Ex post LI &amp; Eligibility Stats'!$A:$N,MATCH($A22,'Ex post LI &amp; Eligibility Stats'!$A:$A,0),MATCH('Program MW '!I$6,'Ex post LI &amp; Eligibility Stats'!$A$8:$N$8,0))/1000)</f>
        <v>18.627798373690627</v>
      </c>
      <c r="K22" s="671">
        <v>112449</v>
      </c>
      <c r="L22" s="327">
        <f>K22*(INDEX('Ex ante LI &amp; Eligibility Stats'!$A:$M,MATCH('Program MW '!$A22,'Ex ante LI &amp; Eligibility Stats'!$A:$A,0),MATCH('Program MW '!L$6,'Ex ante LI &amp; Eligibility Stats'!$A$8:$M$8,0))/1000)</f>
        <v>5.1785319546330015</v>
      </c>
      <c r="M22" s="328">
        <f>K22*(INDEX('Ex post LI &amp; Eligibility Stats'!$A:$N,MATCH($A22,'Ex post LI &amp; Eligibility Stats'!$A:$A,0),MATCH('Program MW '!L$6,'Ex post LI &amp; Eligibility Stats'!$A$8:$N$8,0))/1000)</f>
        <v>18.791399473608479</v>
      </c>
      <c r="N22" s="270">
        <v>0</v>
      </c>
      <c r="O22" s="327">
        <f>N22*(INDEX('Ex ante LI &amp; Eligibility Stats'!$A:$M,MATCH('Program MW '!$A22,'Ex ante LI &amp; Eligibility Stats'!$A:$A,0),MATCH('Program MW '!O$6,'Ex ante LI &amp; Eligibility Stats'!$A$8:$M$8,0))/1000)</f>
        <v>0</v>
      </c>
      <c r="P22" s="328">
        <f>N22*(INDEX('Ex post LI &amp; Eligibility Stats'!$A:$N,MATCH($A22,'Ex post LI &amp; Eligibility Stats'!$A:$A,0),MATCH('Program MW '!O$6,'Ex post LI &amp; Eligibility Stats'!$A$8:$N$8,0))/1000)</f>
        <v>0</v>
      </c>
      <c r="Q22" s="270">
        <v>0</v>
      </c>
      <c r="R22" s="327">
        <f>Q22*(INDEX('Ex ante LI &amp; Eligibility Stats'!$A:$M,MATCH('Program MW '!$A22,'Ex ante LI &amp; Eligibility Stats'!$A:$A,0),MATCH('Program MW '!R$6,'Ex ante LI &amp; Eligibility Stats'!$A$8:$M$8,0))/1000)</f>
        <v>0</v>
      </c>
      <c r="S22" s="328">
        <f>Q22*(INDEX('Ex post LI &amp; Eligibility Stats'!$A:$N,MATCH($A22,'Ex post LI &amp; Eligibility Stats'!$A:$A,0),MATCH('Program MW '!R$6,'Ex post LI &amp; Eligibility Stats'!$A$8:$N$8,0))/1000)</f>
        <v>0</v>
      </c>
      <c r="T22" s="4"/>
      <c r="U22" s="6"/>
      <c r="V22" s="6"/>
      <c r="W22" s="6"/>
      <c r="X22" s="6"/>
      <c r="Y22" s="6"/>
      <c r="Z22" s="6"/>
      <c r="AA22" s="6"/>
      <c r="AB22" s="6"/>
      <c r="AC22" s="6"/>
      <c r="AD22" s="6"/>
      <c r="AE22" s="6"/>
    </row>
    <row r="23" spans="1:31" ht="13.5" thickBot="1">
      <c r="A23" s="184" t="s">
        <v>57</v>
      </c>
      <c r="B23" s="157">
        <f t="shared" ref="B23:S23" si="3">SUM(B12:B22)</f>
        <v>174699</v>
      </c>
      <c r="C23" s="174">
        <f t="shared" si="3"/>
        <v>6.4779166485465431</v>
      </c>
      <c r="D23" s="173">
        <f t="shared" si="3"/>
        <v>32.878399999999999</v>
      </c>
      <c r="E23" s="1">
        <f t="shared" si="3"/>
        <v>175218</v>
      </c>
      <c r="F23" s="230">
        <f t="shared" si="3"/>
        <v>5.9942667902837918</v>
      </c>
      <c r="G23" s="231">
        <f t="shared" si="3"/>
        <v>32.85718</v>
      </c>
      <c r="H23" s="1">
        <f t="shared" si="3"/>
        <v>174537</v>
      </c>
      <c r="I23" s="230">
        <f t="shared" si="3"/>
        <v>4.7170740619647384</v>
      </c>
      <c r="J23" s="231">
        <f t="shared" si="3"/>
        <v>32.916423272768448</v>
      </c>
      <c r="K23" s="1">
        <f t="shared" si="3"/>
        <v>172404</v>
      </c>
      <c r="L23" s="230">
        <f t="shared" si="3"/>
        <v>6.3419381743591412</v>
      </c>
      <c r="M23" s="231">
        <f t="shared" si="3"/>
        <v>32.958681432193202</v>
      </c>
      <c r="N23" s="1">
        <f t="shared" si="3"/>
        <v>0</v>
      </c>
      <c r="O23" s="232">
        <f t="shared" si="3"/>
        <v>0</v>
      </c>
      <c r="P23" s="235">
        <f t="shared" si="3"/>
        <v>0</v>
      </c>
      <c r="Q23" s="1">
        <f t="shared" si="3"/>
        <v>0</v>
      </c>
      <c r="R23" s="239">
        <f t="shared" si="3"/>
        <v>0</v>
      </c>
      <c r="S23" s="240">
        <f t="shared" si="3"/>
        <v>0</v>
      </c>
      <c r="T23" s="5"/>
      <c r="U23" s="6"/>
      <c r="V23" s="6"/>
      <c r="W23" s="6"/>
      <c r="X23" s="6"/>
      <c r="Y23" s="6"/>
      <c r="Z23" s="6"/>
      <c r="AA23" s="6"/>
      <c r="AB23" s="6"/>
      <c r="AC23" s="6"/>
      <c r="AD23" s="6"/>
      <c r="AE23" s="6"/>
    </row>
    <row r="24" spans="1:31" ht="14" thickTop="1" thickBot="1">
      <c r="A24" s="191" t="s">
        <v>58</v>
      </c>
      <c r="B24" s="2">
        <f t="shared" ref="B24:S24" si="4">+B10+B23</f>
        <v>174703</v>
      </c>
      <c r="C24" s="174">
        <f t="shared" si="4"/>
        <v>7.069673728624668</v>
      </c>
      <c r="D24" s="268">
        <f t="shared" si="4"/>
        <v>33.302720000000001</v>
      </c>
      <c r="E24" s="2">
        <f t="shared" si="4"/>
        <v>175222</v>
      </c>
      <c r="F24" s="174">
        <f t="shared" si="4"/>
        <v>6.4877002314459009</v>
      </c>
      <c r="G24" s="174">
        <f t="shared" si="4"/>
        <v>33.281500000000001</v>
      </c>
      <c r="H24" s="2">
        <f t="shared" si="4"/>
        <v>174541</v>
      </c>
      <c r="I24" s="174">
        <f t="shared" si="4"/>
        <v>5.3337787738788007</v>
      </c>
      <c r="J24" s="173">
        <f t="shared" si="4"/>
        <v>33.340423272768447</v>
      </c>
      <c r="K24" s="2">
        <f t="shared" si="4"/>
        <v>172408</v>
      </c>
      <c r="L24" s="174">
        <f t="shared" si="4"/>
        <v>6.9073895293396097</v>
      </c>
      <c r="M24" s="173">
        <f t="shared" si="4"/>
        <v>33.382681432193202</v>
      </c>
      <c r="N24" s="2">
        <f t="shared" si="4"/>
        <v>0</v>
      </c>
      <c r="O24" s="233">
        <f t="shared" si="4"/>
        <v>0</v>
      </c>
      <c r="P24" s="173">
        <f t="shared" si="4"/>
        <v>0</v>
      </c>
      <c r="Q24" s="2">
        <f t="shared" si="4"/>
        <v>0</v>
      </c>
      <c r="R24" s="242">
        <f t="shared" si="4"/>
        <v>0</v>
      </c>
      <c r="S24" s="241">
        <f t="shared" si="4"/>
        <v>0</v>
      </c>
      <c r="T24" s="8"/>
      <c r="U24" s="6"/>
      <c r="V24" s="6"/>
      <c r="W24" s="6"/>
      <c r="X24" s="6"/>
      <c r="Y24" s="6"/>
      <c r="Z24" s="6"/>
      <c r="AA24" s="6"/>
      <c r="AB24" s="6"/>
      <c r="AC24" s="6"/>
      <c r="AD24" s="6"/>
      <c r="AE24" s="6"/>
    </row>
    <row r="25" spans="1:31" ht="13.5" thickTop="1">
      <c r="A25" s="146"/>
      <c r="B25" s="92"/>
      <c r="C25" s="90"/>
      <c r="D25" s="91"/>
      <c r="E25" s="92"/>
      <c r="F25" s="90"/>
      <c r="G25" s="93"/>
      <c r="H25" s="92"/>
      <c r="I25" s="90"/>
      <c r="J25" s="93"/>
      <c r="K25" s="92"/>
      <c r="L25" s="90"/>
      <c r="M25" s="93"/>
      <c r="N25" s="92"/>
      <c r="O25" s="90"/>
      <c r="P25" s="93"/>
      <c r="Q25" s="92"/>
      <c r="R25" s="90"/>
      <c r="S25" s="93"/>
      <c r="T25" s="9"/>
      <c r="U25" s="6"/>
      <c r="V25" s="6"/>
      <c r="W25" s="6"/>
      <c r="X25" s="6"/>
      <c r="Y25" s="6"/>
      <c r="Z25" s="6"/>
      <c r="AA25" s="6"/>
      <c r="AB25" s="6"/>
      <c r="AC25" s="6"/>
      <c r="AD25" s="6"/>
      <c r="AE25" s="6"/>
    </row>
    <row r="26" spans="1:31">
      <c r="B26" s="41"/>
      <c r="C26" s="41"/>
      <c r="D26" s="41"/>
      <c r="E26" s="41"/>
      <c r="F26" s="41"/>
      <c r="G26" s="41"/>
      <c r="H26" s="41"/>
      <c r="I26" s="41"/>
      <c r="J26" s="41"/>
      <c r="K26" s="41"/>
      <c r="L26" s="41"/>
      <c r="M26" s="41"/>
      <c r="N26" s="41"/>
      <c r="O26" s="41"/>
      <c r="P26" s="41"/>
      <c r="Q26" s="41"/>
      <c r="R26" s="41"/>
      <c r="S26" s="41"/>
    </row>
    <row r="27" spans="1:31" hidden="1">
      <c r="B27" s="41"/>
      <c r="C27" s="41">
        <f>C4+6</f>
        <v>8</v>
      </c>
      <c r="D27" s="41">
        <f>D4+6</f>
        <v>8</v>
      </c>
      <c r="E27" s="41"/>
      <c r="F27" s="41">
        <f>F4+6</f>
        <v>9</v>
      </c>
      <c r="G27" s="41">
        <f>G4+6</f>
        <v>9</v>
      </c>
      <c r="H27" s="41"/>
      <c r="I27" s="41">
        <f>I4+6</f>
        <v>10</v>
      </c>
      <c r="J27" s="41">
        <f>J4+6</f>
        <v>10</v>
      </c>
      <c r="K27" s="41"/>
      <c r="L27" s="41">
        <f>L4+6</f>
        <v>11</v>
      </c>
      <c r="M27" s="41">
        <f>M4+6</f>
        <v>11</v>
      </c>
      <c r="N27" s="41"/>
      <c r="O27" s="41">
        <f>O4+6</f>
        <v>12</v>
      </c>
      <c r="P27" s="41">
        <f>P4+6</f>
        <v>12</v>
      </c>
      <c r="Q27" s="41"/>
      <c r="R27" s="41">
        <f>R4+6</f>
        <v>13</v>
      </c>
      <c r="S27" s="41">
        <f>S4+6</f>
        <v>13</v>
      </c>
    </row>
    <row r="28" spans="1:31" ht="13">
      <c r="A28" s="88"/>
      <c r="B28" s="387"/>
      <c r="C28" s="387" t="s">
        <v>59</v>
      </c>
      <c r="D28" s="256"/>
      <c r="E28" s="387"/>
      <c r="F28" s="387" t="s">
        <v>66</v>
      </c>
      <c r="G28" s="387"/>
      <c r="H28" s="387"/>
      <c r="I28" s="387" t="s">
        <v>67</v>
      </c>
      <c r="J28" s="387"/>
      <c r="K28" s="387"/>
      <c r="L28" s="387" t="s">
        <v>61</v>
      </c>
      <c r="M28" s="387"/>
      <c r="N28" s="387"/>
      <c r="O28" s="387" t="s">
        <v>68</v>
      </c>
      <c r="P28" s="387"/>
      <c r="Q28" s="387"/>
      <c r="R28" s="387" t="s">
        <v>62</v>
      </c>
      <c r="S28" s="387"/>
      <c r="T28" s="146"/>
      <c r="U28" s="146"/>
    </row>
    <row r="29" spans="1:31" ht="39">
      <c r="A29" s="162" t="s">
        <v>46</v>
      </c>
      <c r="B29" s="181" t="s">
        <v>6</v>
      </c>
      <c r="C29" s="178" t="s">
        <v>281</v>
      </c>
      <c r="D29" s="168" t="s">
        <v>282</v>
      </c>
      <c r="E29" s="181" t="s">
        <v>6</v>
      </c>
      <c r="F29" s="178" t="s">
        <v>281</v>
      </c>
      <c r="G29" s="168" t="s">
        <v>282</v>
      </c>
      <c r="H29" s="181" t="s">
        <v>6</v>
      </c>
      <c r="I29" s="178" t="s">
        <v>281</v>
      </c>
      <c r="J29" s="168" t="s">
        <v>282</v>
      </c>
      <c r="K29" s="181" t="s">
        <v>6</v>
      </c>
      <c r="L29" s="178" t="s">
        <v>281</v>
      </c>
      <c r="M29" s="168" t="s">
        <v>282</v>
      </c>
      <c r="N29" s="181" t="s">
        <v>6</v>
      </c>
      <c r="O29" s="178" t="s">
        <v>281</v>
      </c>
      <c r="P29" s="168" t="s">
        <v>282</v>
      </c>
      <c r="Q29" s="181" t="s">
        <v>6</v>
      </c>
      <c r="R29" s="178" t="s">
        <v>281</v>
      </c>
      <c r="S29" s="168" t="s">
        <v>282</v>
      </c>
      <c r="T29" s="168" t="s">
        <v>50</v>
      </c>
      <c r="V29" s="11"/>
    </row>
    <row r="30" spans="1:31" ht="13">
      <c r="A30" s="162" t="s">
        <v>51</v>
      </c>
      <c r="B30" s="181"/>
      <c r="C30" s="179"/>
      <c r="D30" s="182"/>
      <c r="E30" s="181"/>
      <c r="F30" s="179"/>
      <c r="G30" s="182"/>
      <c r="H30" s="181"/>
      <c r="I30" s="179"/>
      <c r="J30" s="179"/>
      <c r="K30" s="181"/>
      <c r="L30" s="179"/>
      <c r="M30" s="182"/>
      <c r="N30" s="181"/>
      <c r="O30" s="179"/>
      <c r="P30" s="182"/>
      <c r="Q30" s="181"/>
      <c r="R30" s="179"/>
      <c r="S30" s="182"/>
      <c r="T30" s="183"/>
    </row>
    <row r="31" spans="1:31">
      <c r="A31" s="85" t="s">
        <v>8</v>
      </c>
      <c r="B31" s="127">
        <v>0</v>
      </c>
      <c r="C31" s="327">
        <f>B31*(INDEX('Ex ante LI &amp; Eligibility Stats'!$A:$M,MATCH('Program MW '!$A31,'Ex ante LI &amp; Eligibility Stats'!$A:$A,0),MATCH('Program MW '!C$28,'Ex ante LI &amp; Eligibility Stats'!$A$8:$M$8,0))/1000)</f>
        <v>0</v>
      </c>
      <c r="D31" s="327">
        <f>B31*(INDEX('Ex post LI &amp; Eligibility Stats'!$A:$N,MATCH($A31,'Ex post LI &amp; Eligibility Stats'!$A:$A,0),MATCH('Program MW '!C$28,'Ex post LI &amp; Eligibility Stats'!$A$8:$N$8,0))/1000)</f>
        <v>0</v>
      </c>
      <c r="E31" s="124">
        <v>0</v>
      </c>
      <c r="F31" s="327">
        <f>E31*(INDEX('Ex ante LI &amp; Eligibility Stats'!$A:$M,MATCH('Program MW '!$A31,'Ex ante LI &amp; Eligibility Stats'!$A:$A,0),MATCH('Program MW '!F$28,'Ex ante LI &amp; Eligibility Stats'!$A$8:$M$8,0))/1000)</f>
        <v>0</v>
      </c>
      <c r="G31" s="327">
        <f>E31*(INDEX('Ex post LI &amp; Eligibility Stats'!$A:$N,MATCH($A31,'Ex post LI &amp; Eligibility Stats'!$A:$A,0),MATCH('Program MW '!F$28,'Ex post LI &amp; Eligibility Stats'!$A$8:$N$8,0))/1000)</f>
        <v>0</v>
      </c>
      <c r="H31" s="124">
        <v>0</v>
      </c>
      <c r="I31" s="327">
        <f>H31*(INDEX('Ex ante LI &amp; Eligibility Stats'!$A:$M,MATCH('Program MW '!$A31,'Ex ante LI &amp; Eligibility Stats'!$A:$A,0),MATCH('Program MW '!I$28,'Ex ante LI &amp; Eligibility Stats'!$A$8:$M$8,0))/1000)</f>
        <v>0</v>
      </c>
      <c r="J31" s="327">
        <f>H31*(INDEX('Ex post LI &amp; Eligibility Stats'!$A:$N,MATCH($A31,'Ex post LI &amp; Eligibility Stats'!$A:$A,0),MATCH('Program MW '!I$28,'Ex post LI &amp; Eligibility Stats'!$A$8:$N$8,0))/1000)</f>
        <v>0</v>
      </c>
      <c r="K31" s="126">
        <v>0</v>
      </c>
      <c r="L31" s="327">
        <f>K31*(INDEX('Ex ante LI &amp; Eligibility Stats'!$A:$M,MATCH('Program MW '!$A31,'Ex ante LI &amp; Eligibility Stats'!$A:$A,0),MATCH('Program MW '!L$28,'Ex ante LI &amp; Eligibility Stats'!$A$8:$M$8,0))/1000)</f>
        <v>0</v>
      </c>
      <c r="M31" s="327">
        <f>K31*(INDEX('Ex post LI &amp; Eligibility Stats'!$A:$N,MATCH($A31,'Ex post LI &amp; Eligibility Stats'!$A:$A,0),MATCH('Program MW '!L$28,'Ex post LI &amp; Eligibility Stats'!$A$8:$N$8,0))/1000)</f>
        <v>0</v>
      </c>
      <c r="N31" s="124">
        <v>0</v>
      </c>
      <c r="O31" s="327">
        <f>N31*(INDEX('Ex ante LI &amp; Eligibility Stats'!$A:$M,MATCH('Program MW '!$A31,'Ex ante LI &amp; Eligibility Stats'!$A:$A,0),MATCH('Program MW '!O$28,'Ex ante LI &amp; Eligibility Stats'!$A$8:$M$8,0))/1000)</f>
        <v>0</v>
      </c>
      <c r="P31" s="327">
        <f>N31*(INDEX('Ex post LI &amp; Eligibility Stats'!$A:$N,MATCH($A31,'Ex post LI &amp; Eligibility Stats'!$A:$A,0),MATCH('Program MW '!O$28,'Ex post LI &amp; Eligibility Stats'!$A$8:$N$8,0))/1000)</f>
        <v>0</v>
      </c>
      <c r="Q31" s="124">
        <v>0</v>
      </c>
      <c r="R31" s="327">
        <f>Q31*(INDEX('Ex ante LI &amp; Eligibility Stats'!$A:$M,MATCH('Program MW '!$A31,'Ex ante LI &amp; Eligibility Stats'!$A:$A,0),MATCH('Program MW '!R$28,'Ex ante LI &amp; Eligibility Stats'!$A$8:$M$8,0))/1000)</f>
        <v>0</v>
      </c>
      <c r="S31" s="327">
        <f>Q31*(INDEX('Ex post LI &amp; Eligibility Stats'!$A:$N,MATCH($A31,'Ex post LI &amp; Eligibility Stats'!$A:$A,0),MATCH('Program MW '!R$28,'Ex post LI &amp; Eligibility Stats'!$A$8:$N$8,0))/1000)</f>
        <v>0</v>
      </c>
      <c r="T31" s="4">
        <v>5276</v>
      </c>
    </row>
    <row r="32" spans="1:31" ht="13.5" thickBot="1">
      <c r="A32" s="184" t="s">
        <v>52</v>
      </c>
      <c r="B32" s="155">
        <f t="shared" ref="B32:K32" si="5">SUM(B31:B31)</f>
        <v>0</v>
      </c>
      <c r="C32" s="258">
        <f t="shared" si="5"/>
        <v>0</v>
      </c>
      <c r="D32" s="259">
        <f t="shared" si="5"/>
        <v>0</v>
      </c>
      <c r="E32" s="125">
        <f t="shared" si="5"/>
        <v>0</v>
      </c>
      <c r="F32" s="258">
        <f t="shared" ref="F32:G32" si="6">SUM(F31:F31)</f>
        <v>0</v>
      </c>
      <c r="G32" s="259">
        <f t="shared" si="6"/>
        <v>0</v>
      </c>
      <c r="H32" s="125">
        <f t="shared" si="5"/>
        <v>0</v>
      </c>
      <c r="I32" s="258">
        <f t="shared" si="5"/>
        <v>0</v>
      </c>
      <c r="J32" s="259">
        <f t="shared" si="5"/>
        <v>0</v>
      </c>
      <c r="K32" s="125">
        <f t="shared" si="5"/>
        <v>0</v>
      </c>
      <c r="L32" s="258">
        <f t="shared" ref="L32:M32" si="7">SUM(L31:L31)</f>
        <v>0</v>
      </c>
      <c r="M32" s="259">
        <f t="shared" si="7"/>
        <v>0</v>
      </c>
      <c r="N32" s="125">
        <f t="shared" ref="N32:Q32" si="8">SUM(N31:N31)</f>
        <v>0</v>
      </c>
      <c r="O32" s="258">
        <f t="shared" ref="O32:P32" si="9">SUM(O31:O31)</f>
        <v>0</v>
      </c>
      <c r="P32" s="259">
        <f t="shared" si="9"/>
        <v>0</v>
      </c>
      <c r="Q32" s="125">
        <f t="shared" si="8"/>
        <v>0</v>
      </c>
      <c r="R32" s="258">
        <f t="shared" ref="R32:S32" si="10">SUM(R31:R31)</f>
        <v>0</v>
      </c>
      <c r="S32" s="259">
        <f t="shared" si="10"/>
        <v>0</v>
      </c>
      <c r="T32" s="5"/>
    </row>
    <row r="33" spans="1:26" ht="13.5" thickTop="1">
      <c r="A33" s="162" t="s">
        <v>53</v>
      </c>
      <c r="B33" s="189"/>
      <c r="C33" s="188"/>
      <c r="D33" s="187"/>
      <c r="E33" s="189"/>
      <c r="F33" s="188"/>
      <c r="G33" s="187"/>
      <c r="H33" s="189"/>
      <c r="I33" s="188"/>
      <c r="J33" s="187"/>
      <c r="K33" s="189"/>
      <c r="L33" s="188"/>
      <c r="M33" s="187"/>
      <c r="N33" s="189"/>
      <c r="O33" s="188"/>
      <c r="P33" s="187"/>
      <c r="Q33" s="189"/>
      <c r="R33" s="188"/>
      <c r="S33" s="187"/>
      <c r="T33" s="183"/>
    </row>
    <row r="34" spans="1:26">
      <c r="A34" s="42" t="s">
        <v>11</v>
      </c>
      <c r="B34" s="158">
        <v>0</v>
      </c>
      <c r="C34" s="327">
        <f>B34*(INDEX('Ex ante LI &amp; Eligibility Stats'!$A:$M,MATCH('Program MW '!$A34,'Ex ante LI &amp; Eligibility Stats'!$A:$A,0),MATCH('Program MW '!C$28,'Ex ante LI &amp; Eligibility Stats'!$A$8:$M$8,0))/1000)</f>
        <v>0</v>
      </c>
      <c r="D34" s="326">
        <f>B34*(INDEX('Ex post LI &amp; Eligibility Stats'!$A:$N,MATCH($A34,'Ex post LI &amp; Eligibility Stats'!$A:$A,0),MATCH('Program MW '!C$28,'Ex post LI &amp; Eligibility Stats'!$A$8:$N$8,0))/1000)</f>
        <v>0</v>
      </c>
      <c r="E34" s="158">
        <v>0</v>
      </c>
      <c r="F34" s="327">
        <f>E34*(INDEX('Ex ante LI &amp; Eligibility Stats'!$A:$M,MATCH('Program MW '!$A34,'Ex ante LI &amp; Eligibility Stats'!$A:$A,0),MATCH('Program MW '!F$28,'Ex ante LI &amp; Eligibility Stats'!$A$8:$M$8,0))/1000)</f>
        <v>0</v>
      </c>
      <c r="G34" s="326">
        <f>E34*(INDEX('Ex post LI &amp; Eligibility Stats'!$A:$N,MATCH($A34,'Ex post LI &amp; Eligibility Stats'!$A:$A,0),MATCH('Program MW '!F$28,'Ex post LI &amp; Eligibility Stats'!$A$8:$N$8,0))/1000)</f>
        <v>0</v>
      </c>
      <c r="H34" s="158">
        <v>0</v>
      </c>
      <c r="I34" s="327">
        <f>H34*(INDEX('Ex ante LI &amp; Eligibility Stats'!$A:$M,MATCH('Program MW '!$A34,'Ex ante LI &amp; Eligibility Stats'!$A:$A,0),MATCH('Program MW '!I$28,'Ex ante LI &amp; Eligibility Stats'!$A$8:$M$8,0))/1000)</f>
        <v>0</v>
      </c>
      <c r="J34" s="326">
        <f>H34*(INDEX('Ex post LI &amp; Eligibility Stats'!$A:$N,MATCH($A34,'Ex post LI &amp; Eligibility Stats'!$A:$A,0),MATCH('Program MW '!I$28,'Ex post LI &amp; Eligibility Stats'!$A$8:$N$8,0))/1000)</f>
        <v>0</v>
      </c>
      <c r="K34" s="158">
        <v>0</v>
      </c>
      <c r="L34" s="327">
        <f>K34*(INDEX('Ex ante LI &amp; Eligibility Stats'!$A:$M,MATCH('Program MW '!$A34,'Ex ante LI &amp; Eligibility Stats'!$A:$A,0),MATCH('Program MW '!L$28,'Ex ante LI &amp; Eligibility Stats'!$A$8:$M$8,0))/1000)</f>
        <v>0</v>
      </c>
      <c r="M34" s="326">
        <f>K34*(INDEX('Ex post LI &amp; Eligibility Stats'!$A:$N,MATCH($A34,'Ex post LI &amp; Eligibility Stats'!$A:$A,0),MATCH('Program MW '!L$28,'Ex post LI &amp; Eligibility Stats'!$A$8:$N$8,0))/1000)</f>
        <v>0</v>
      </c>
      <c r="N34" s="158">
        <v>0</v>
      </c>
      <c r="O34" s="327">
        <f>N34*(INDEX('Ex ante LI &amp; Eligibility Stats'!$A:$M,MATCH('Program MW '!$A34,'Ex ante LI &amp; Eligibility Stats'!$A:$A,0),MATCH('Program MW '!O$28,'Ex ante LI &amp; Eligibility Stats'!$A$8:$M$8,0))/1000)</f>
        <v>0</v>
      </c>
      <c r="P34" s="326">
        <f>N34*(INDEX('Ex post LI &amp; Eligibility Stats'!$A:$N,MATCH($A34,'Ex post LI &amp; Eligibility Stats'!$A:$A,0),MATCH('Program MW '!O$28,'Ex post LI &amp; Eligibility Stats'!$A$8:$N$8,0))/1000)</f>
        <v>0</v>
      </c>
      <c r="Q34" s="158">
        <v>0</v>
      </c>
      <c r="R34" s="327">
        <f>Q34*(INDEX('Ex ante LI &amp; Eligibility Stats'!$A:$M,MATCH('Program MW '!$A34,'Ex ante LI &amp; Eligibility Stats'!$A:$A,0),MATCH('Program MW '!R$28,'Ex ante LI &amp; Eligibility Stats'!$A$8:$M$8,0))/1000)</f>
        <v>0</v>
      </c>
      <c r="S34" s="326">
        <f>Q34*(INDEX('Ex post LI &amp; Eligibility Stats'!$A:$N,MATCH($A34,'Ex post LI &amp; Eligibility Stats'!$A:$A,0),MATCH('Program MW '!R$28,'Ex post LI &amp; Eligibility Stats'!$A$8:$N$8,0))/1000)</f>
        <v>0</v>
      </c>
      <c r="T34" s="7">
        <v>138123</v>
      </c>
    </row>
    <row r="35" spans="1:26" ht="13.5">
      <c r="A35" s="205" t="s">
        <v>54</v>
      </c>
      <c r="B35" s="206">
        <v>0</v>
      </c>
      <c r="C35" s="327">
        <v>0</v>
      </c>
      <c r="D35" s="328">
        <v>0</v>
      </c>
      <c r="E35" s="206">
        <v>0</v>
      </c>
      <c r="F35" s="327">
        <v>0</v>
      </c>
      <c r="G35" s="328">
        <v>0</v>
      </c>
      <c r="H35" s="206">
        <v>0</v>
      </c>
      <c r="I35" s="327">
        <v>0</v>
      </c>
      <c r="J35" s="328">
        <v>0</v>
      </c>
      <c r="K35" s="206">
        <v>0</v>
      </c>
      <c r="L35" s="327">
        <v>0</v>
      </c>
      <c r="M35" s="328">
        <v>0</v>
      </c>
      <c r="N35" s="206">
        <v>0</v>
      </c>
      <c r="O35" s="327">
        <v>0</v>
      </c>
      <c r="P35" s="328">
        <v>0</v>
      </c>
      <c r="Q35" s="206">
        <v>0</v>
      </c>
      <c r="R35" s="327">
        <v>0</v>
      </c>
      <c r="S35" s="328">
        <v>0</v>
      </c>
      <c r="T35" s="4"/>
    </row>
    <row r="36" spans="1:26">
      <c r="A36" s="272" t="s">
        <v>17</v>
      </c>
      <c r="B36" s="159">
        <v>0</v>
      </c>
      <c r="C36" s="327">
        <f>B36*(INDEX('Ex ante LI &amp; Eligibility Stats'!$A:$M,MATCH('Program MW '!$A36,'Ex ante LI &amp; Eligibility Stats'!$A:$A,0),MATCH('Program MW '!C$28,'Ex ante LI &amp; Eligibility Stats'!$A$8:$M$8,0))/1000)</f>
        <v>0</v>
      </c>
      <c r="D36" s="328">
        <f>B36*(INDEX('Ex post LI &amp; Eligibility Stats'!$A:$N,MATCH($A36,'Ex post LI &amp; Eligibility Stats'!$A:$A,0),MATCH('Program MW '!C$28,'Ex post LI &amp; Eligibility Stats'!$A$8:$N$8,0))/1000)</f>
        <v>0</v>
      </c>
      <c r="E36" s="159">
        <v>0</v>
      </c>
      <c r="F36" s="327">
        <f>E36*(INDEX('Ex ante LI &amp; Eligibility Stats'!$A:$M,MATCH('Program MW '!$A36,'Ex ante LI &amp; Eligibility Stats'!$A:$A,0),MATCH('Program MW '!F$28,'Ex ante LI &amp; Eligibility Stats'!$A$8:$M$8,0))/1000)</f>
        <v>0</v>
      </c>
      <c r="G36" s="328">
        <f>E36*(INDEX('Ex post LI &amp; Eligibility Stats'!$A:$N,MATCH($A36,'Ex post LI &amp; Eligibility Stats'!$A:$A,0),MATCH('Program MW '!F$28,'Ex post LI &amp; Eligibility Stats'!$A$8:$N$8,0))/1000)</f>
        <v>0</v>
      </c>
      <c r="H36" s="159">
        <v>0</v>
      </c>
      <c r="I36" s="327">
        <f>H36*(INDEX('Ex ante LI &amp; Eligibility Stats'!$A:$M,MATCH('Program MW '!$A36,'Ex ante LI &amp; Eligibility Stats'!$A:$A,0),MATCH('Program MW '!I$28,'Ex ante LI &amp; Eligibility Stats'!$A$8:$M$8,0))/1000)</f>
        <v>0</v>
      </c>
      <c r="J36" s="328">
        <f>H36*(INDEX('Ex post LI &amp; Eligibility Stats'!$A:$N,MATCH($A36,'Ex post LI &amp; Eligibility Stats'!$A:$A,0),MATCH('Program MW '!I$28,'Ex post LI &amp; Eligibility Stats'!$A$8:$N$8,0))/1000)</f>
        <v>0</v>
      </c>
      <c r="K36" s="159">
        <v>0</v>
      </c>
      <c r="L36" s="327">
        <f>K36*(INDEX('Ex ante LI &amp; Eligibility Stats'!$A:$M,MATCH('Program MW '!$A36,'Ex ante LI &amp; Eligibility Stats'!$A:$A,0),MATCH('Program MW '!L$28,'Ex ante LI &amp; Eligibility Stats'!$A$8:$M$8,0))/1000)</f>
        <v>0</v>
      </c>
      <c r="M36" s="328">
        <f>K36*(INDEX('Ex post LI &amp; Eligibility Stats'!$A:$N,MATCH($A36,'Ex post LI &amp; Eligibility Stats'!$A:$A,0),MATCH('Program MW '!L$28,'Ex post LI &amp; Eligibility Stats'!$A$8:$N$8,0))/1000)</f>
        <v>0</v>
      </c>
      <c r="N36" s="159">
        <v>0</v>
      </c>
      <c r="O36" s="517">
        <f>N36*(INDEX('Ex ante LI &amp; Eligibility Stats'!$A:$M,MATCH('Program MW '!$A36,'Ex ante LI &amp; Eligibility Stats'!$A:$A,0),MATCH('Program MW '!O$28,'Ex ante LI &amp; Eligibility Stats'!$A$8:$M$8,0))/1000)</f>
        <v>0</v>
      </c>
      <c r="P36" s="328">
        <f>N36*(INDEX('Ex post LI &amp; Eligibility Stats'!$A:$N,MATCH($A36,'Ex post LI &amp; Eligibility Stats'!$A:$A,0),MATCH('Program MW '!O$28,'Ex post LI &amp; Eligibility Stats'!$A$8:$N$8,0))/1000)</f>
        <v>0</v>
      </c>
      <c r="Q36" s="159">
        <v>0</v>
      </c>
      <c r="R36" s="327">
        <f>Q36*(INDEX('Ex ante LI &amp; Eligibility Stats'!$A:$M,MATCH('Program MW '!$A36,'Ex ante LI &amp; Eligibility Stats'!$A:$A,0),MATCH('Program MW '!R$28,'Ex ante LI &amp; Eligibility Stats'!$A$8:$M$8,0))/1000)</f>
        <v>0</v>
      </c>
      <c r="S36" s="328">
        <f>Q36*(INDEX('Ex post LI &amp; Eligibility Stats'!$A:$N,MATCH($A36,'Ex post LI &amp; Eligibility Stats'!$A:$A,0),MATCH('Program MW '!R$28,'Ex post LI &amp; Eligibility Stats'!$A$8:$N$8,0))/1000)</f>
        <v>0</v>
      </c>
      <c r="T36" s="4">
        <v>663393.5</v>
      </c>
    </row>
    <row r="37" spans="1:26">
      <c r="A37" s="272" t="s">
        <v>20</v>
      </c>
      <c r="B37" s="159">
        <v>0</v>
      </c>
      <c r="C37" s="327">
        <f>B37*(INDEX('Ex ante LI &amp; Eligibility Stats'!$A:$M,MATCH('Program MW '!$A37,'Ex ante LI &amp; Eligibility Stats'!$A:$A,0),MATCH('Program MW '!C$28,'Ex ante LI &amp; Eligibility Stats'!$A$8:$M$8,0))/1000)</f>
        <v>0</v>
      </c>
      <c r="D37" s="328">
        <f>B37*(INDEX('Ex post LI &amp; Eligibility Stats'!$A:$N,MATCH($A37,'Ex post LI &amp; Eligibility Stats'!$A:$A,0),MATCH('Program MW '!C$28,'Ex post LI &amp; Eligibility Stats'!$A$8:$N$8,0))/1000)</f>
        <v>0</v>
      </c>
      <c r="E37" s="159">
        <v>0</v>
      </c>
      <c r="F37" s="327">
        <f>E37*(INDEX('Ex ante LI &amp; Eligibility Stats'!$A:$M,MATCH('Program MW '!$A37,'Ex ante LI &amp; Eligibility Stats'!$A:$A,0),MATCH('Program MW '!F$28,'Ex ante LI &amp; Eligibility Stats'!$A$8:$M$8,0))/1000)</f>
        <v>0</v>
      </c>
      <c r="G37" s="328">
        <f>E37*(INDEX('Ex post LI &amp; Eligibility Stats'!$A:$N,MATCH($A37,'Ex post LI &amp; Eligibility Stats'!$A:$A,0),MATCH('Program MW '!F$28,'Ex post LI &amp; Eligibility Stats'!$A$8:$N$8,0))/1000)</f>
        <v>0</v>
      </c>
      <c r="H37" s="159">
        <v>0</v>
      </c>
      <c r="I37" s="327">
        <f>H37*(INDEX('Ex ante LI &amp; Eligibility Stats'!$A:$M,MATCH('Program MW '!$A37,'Ex ante LI &amp; Eligibility Stats'!$A:$A,0),MATCH('Program MW '!I$28,'Ex ante LI &amp; Eligibility Stats'!$A$8:$M$8,0))/1000)</f>
        <v>0</v>
      </c>
      <c r="J37" s="328">
        <f>H37*(INDEX('Ex post LI &amp; Eligibility Stats'!$A:$N,MATCH($A37,'Ex post LI &amp; Eligibility Stats'!$A:$A,0),MATCH('Program MW '!I$28,'Ex post LI &amp; Eligibility Stats'!$A$8:$N$8,0))/1000)</f>
        <v>0</v>
      </c>
      <c r="K37" s="159">
        <v>0</v>
      </c>
      <c r="L37" s="327">
        <f>K37*(INDEX('Ex ante LI &amp; Eligibility Stats'!$A:$M,MATCH('Program MW '!$A37,'Ex ante LI &amp; Eligibility Stats'!$A:$A,0),MATCH('Program MW '!L$28,'Ex ante LI &amp; Eligibility Stats'!$A$8:$M$8,0))/1000)</f>
        <v>0</v>
      </c>
      <c r="M37" s="328">
        <f>K37*(INDEX('Ex post LI &amp; Eligibility Stats'!$A:$N,MATCH($A37,'Ex post LI &amp; Eligibility Stats'!$A:$A,0),MATCH('Program MW '!L$28,'Ex post LI &amp; Eligibility Stats'!$A$8:$N$8,0))/1000)</f>
        <v>0</v>
      </c>
      <c r="N37" s="159">
        <v>0</v>
      </c>
      <c r="O37" s="327">
        <f>N37*(INDEX('Ex ante LI &amp; Eligibility Stats'!$A:$M,MATCH('Program MW '!$A37,'Ex ante LI &amp; Eligibility Stats'!$A:$A,0),MATCH('Program MW '!O$28,'Ex ante LI &amp; Eligibility Stats'!$A$8:$M$8,0))/1000)</f>
        <v>0</v>
      </c>
      <c r="P37" s="328">
        <f>N37*(INDEX('Ex post LI &amp; Eligibility Stats'!$A:$N,MATCH($A37,'Ex post LI &amp; Eligibility Stats'!$A:$A,0),MATCH('Program MW '!O$28,'Ex post LI &amp; Eligibility Stats'!$A$8:$N$8,0))/1000)</f>
        <v>0</v>
      </c>
      <c r="Q37" s="159">
        <v>0</v>
      </c>
      <c r="R37" s="327">
        <f>Q37*(INDEX('Ex ante LI &amp; Eligibility Stats'!$A:$M,MATCH('Program MW '!$A37,'Ex ante LI &amp; Eligibility Stats'!$A:$A,0),MATCH('Program MW '!R$28,'Ex ante LI &amp; Eligibility Stats'!$A$8:$M$8,0))/1000)</f>
        <v>0</v>
      </c>
      <c r="S37" s="328">
        <f>Q37*(INDEX('Ex post LI &amp; Eligibility Stats'!$A:$N,MATCH($A37,'Ex post LI &amp; Eligibility Stats'!$A:$A,0),MATCH('Program MW '!R$28,'Ex post LI &amp; Eligibility Stats'!$A$8:$N$8,0))/1000)</f>
        <v>0</v>
      </c>
      <c r="T37" s="4"/>
    </row>
    <row r="38" spans="1:26">
      <c r="A38" s="272" t="s">
        <v>21</v>
      </c>
      <c r="B38" s="385">
        <v>0</v>
      </c>
      <c r="C38" s="327">
        <f>B38*(INDEX('Ex ante LI &amp; Eligibility Stats'!$A:$M,MATCH('Program MW '!$A38,'Ex ante LI &amp; Eligibility Stats'!$A:$A,0),MATCH('Program MW '!C$28,'Ex ante LI &amp; Eligibility Stats'!$A$8:$M$8,0))/1000)</f>
        <v>0</v>
      </c>
      <c r="D38" s="328">
        <f>B38*(INDEX('Ex post LI &amp; Eligibility Stats'!$A:$N,MATCH($A38,'Ex post LI &amp; Eligibility Stats'!$A:$A,0),MATCH('Program MW '!C$28,'Ex post LI &amp; Eligibility Stats'!$A$8:$N$8,0))/1000)</f>
        <v>0</v>
      </c>
      <c r="E38" s="385">
        <v>0</v>
      </c>
      <c r="F38" s="327">
        <f>E38*(INDEX('Ex ante LI &amp; Eligibility Stats'!$A:$M,MATCH('Program MW '!$A38,'Ex ante LI &amp; Eligibility Stats'!$A:$A,0),MATCH('Program MW '!F$28,'Ex ante LI &amp; Eligibility Stats'!$A$8:$M$8,0))/1000)</f>
        <v>0</v>
      </c>
      <c r="G38" s="328">
        <f>E38*(INDEX('Ex post LI &amp; Eligibility Stats'!$A:$N,MATCH($A38,'Ex post LI &amp; Eligibility Stats'!$A:$A,0),MATCH('Program MW '!F$28,'Ex post LI &amp; Eligibility Stats'!$A$8:$N$8,0))/1000)</f>
        <v>0</v>
      </c>
      <c r="H38" s="385">
        <v>0</v>
      </c>
      <c r="I38" s="327">
        <f>H38*(INDEX('Ex ante LI &amp; Eligibility Stats'!$A:$M,MATCH('Program MW '!$A38,'Ex ante LI &amp; Eligibility Stats'!$A:$A,0),MATCH('Program MW '!I$28,'Ex ante LI &amp; Eligibility Stats'!$A$8:$M$8,0))/1000)</f>
        <v>0</v>
      </c>
      <c r="J38" s="328">
        <f>H38*(INDEX('Ex post LI &amp; Eligibility Stats'!$A:$N,MATCH($A38,'Ex post LI &amp; Eligibility Stats'!$A:$A,0),MATCH('Program MW '!I$28,'Ex post LI &amp; Eligibility Stats'!$A$8:$N$8,0))/1000)</f>
        <v>0</v>
      </c>
      <c r="K38" s="385">
        <v>0</v>
      </c>
      <c r="L38" s="327">
        <f>K38*(INDEX('Ex ante LI &amp; Eligibility Stats'!$A:$M,MATCH('Program MW '!$A38,'Ex ante LI &amp; Eligibility Stats'!$A:$A,0),MATCH('Program MW '!L$28,'Ex ante LI &amp; Eligibility Stats'!$A$8:$M$8,0))/1000)</f>
        <v>0</v>
      </c>
      <c r="M38" s="328">
        <f>K38*(INDEX('Ex post LI &amp; Eligibility Stats'!$A:$N,MATCH($A38,'Ex post LI &amp; Eligibility Stats'!$A:$A,0),MATCH('Program MW '!L$28,'Ex post LI &amp; Eligibility Stats'!$A$8:$N$8,0))/1000)</f>
        <v>0</v>
      </c>
      <c r="N38" s="385">
        <v>0</v>
      </c>
      <c r="O38" s="327">
        <f>N38*(INDEX('Ex ante LI &amp; Eligibility Stats'!$A:$M,MATCH('Program MW '!$A38,'Ex ante LI &amp; Eligibility Stats'!$A:$A,0),MATCH('Program MW '!O$28,'Ex ante LI &amp; Eligibility Stats'!$A$8:$M$8,0))/1000)</f>
        <v>0</v>
      </c>
      <c r="P38" s="328">
        <f>N38*(INDEX('Ex post LI &amp; Eligibility Stats'!$A:$N,MATCH($A38,'Ex post LI &amp; Eligibility Stats'!$A:$A,0),MATCH('Program MW '!O$28,'Ex post LI &amp; Eligibility Stats'!$A$8:$N$8,0))/1000)</f>
        <v>0</v>
      </c>
      <c r="Q38" s="385">
        <v>0</v>
      </c>
      <c r="R38" s="327">
        <f>Q38*(INDEX('Ex ante LI &amp; Eligibility Stats'!$A:$M,MATCH('Program MW '!$A38,'Ex ante LI &amp; Eligibility Stats'!$A:$A,0),MATCH('Program MW '!R$28,'Ex ante LI &amp; Eligibility Stats'!$A$8:$M$8,0))/1000)</f>
        <v>0</v>
      </c>
      <c r="S38" s="328">
        <f>Q38*(INDEX('Ex post LI &amp; Eligibility Stats'!$A:$N,MATCH($A38,'Ex post LI &amp; Eligibility Stats'!$A:$A,0),MATCH('Program MW '!R$28,'Ex post LI &amp; Eligibility Stats'!$A$8:$N$8,0))/1000)</f>
        <v>0</v>
      </c>
      <c r="T38" s="4">
        <v>157189</v>
      </c>
    </row>
    <row r="39" spans="1:26">
      <c r="A39" s="272" t="s">
        <v>23</v>
      </c>
      <c r="B39" s="385">
        <v>0</v>
      </c>
      <c r="C39" s="327">
        <f>B39*(INDEX('Ex ante LI &amp; Eligibility Stats'!$A:$M,MATCH('Program MW '!$A39,'Ex ante LI &amp; Eligibility Stats'!$A:$A,0),MATCH('Program MW '!C$28,'Ex ante LI &amp; Eligibility Stats'!$A$8:$M$8,0))/1000)</f>
        <v>0</v>
      </c>
      <c r="D39" s="328">
        <f>B39*(INDEX('Ex post LI &amp; Eligibility Stats'!$A:$N,MATCH($A39,'Ex post LI &amp; Eligibility Stats'!$A:$A,0),MATCH('Program MW '!C$28,'Ex post LI &amp; Eligibility Stats'!$A$8:$N$8,0))/1000)</f>
        <v>0</v>
      </c>
      <c r="E39" s="385">
        <v>0</v>
      </c>
      <c r="F39" s="327">
        <f>E39*(INDEX('Ex ante LI &amp; Eligibility Stats'!$A:$M,MATCH('Program MW '!$A39,'Ex ante LI &amp; Eligibility Stats'!$A:$A,0),MATCH('Program MW '!F$28,'Ex ante LI &amp; Eligibility Stats'!$A$8:$M$8,0))/1000)</f>
        <v>0</v>
      </c>
      <c r="G39" s="328">
        <f>E39*(INDEX('Ex post LI &amp; Eligibility Stats'!$A:$N,MATCH($A39,'Ex post LI &amp; Eligibility Stats'!$A:$A,0),MATCH('Program MW '!F$28,'Ex post LI &amp; Eligibility Stats'!$A$8:$N$8,0))/1000)</f>
        <v>0</v>
      </c>
      <c r="H39" s="385">
        <v>0</v>
      </c>
      <c r="I39" s="327">
        <f>H39*(INDEX('Ex ante LI &amp; Eligibility Stats'!$A:$M,MATCH('Program MW '!$A39,'Ex ante LI &amp; Eligibility Stats'!$A:$A,0),MATCH('Program MW '!I$28,'Ex ante LI &amp; Eligibility Stats'!$A$8:$M$8,0))/1000)</f>
        <v>0</v>
      </c>
      <c r="J39" s="328">
        <f>H39*(INDEX('Ex post LI &amp; Eligibility Stats'!$A:$N,MATCH($A39,'Ex post LI &amp; Eligibility Stats'!$A:$A,0),MATCH('Program MW '!I$28,'Ex post LI &amp; Eligibility Stats'!$A$8:$N$8,0))/1000)</f>
        <v>0</v>
      </c>
      <c r="K39" s="385">
        <v>0</v>
      </c>
      <c r="L39" s="327">
        <f>K39*(INDEX('Ex ante LI &amp; Eligibility Stats'!$A:$M,MATCH('Program MW '!$A39,'Ex ante LI &amp; Eligibility Stats'!$A:$A,0),MATCH('Program MW '!L$28,'Ex ante LI &amp; Eligibility Stats'!$A$8:$M$8,0))/1000)</f>
        <v>0</v>
      </c>
      <c r="M39" s="328">
        <f>K39*(INDEX('Ex post LI &amp; Eligibility Stats'!$A:$N,MATCH($A39,'Ex post LI &amp; Eligibility Stats'!$A:$A,0),MATCH('Program MW '!L$28,'Ex post LI &amp; Eligibility Stats'!$A$8:$N$8,0))/1000)</f>
        <v>0</v>
      </c>
      <c r="N39" s="385">
        <v>0</v>
      </c>
      <c r="O39" s="327">
        <f>N39*(INDEX('Ex ante LI &amp; Eligibility Stats'!$A:$M,MATCH('Program MW '!$A39,'Ex ante LI &amp; Eligibility Stats'!$A:$A,0),MATCH('Program MW '!O$28,'Ex ante LI &amp; Eligibility Stats'!$A$8:$M$8,0))/1000)</f>
        <v>0</v>
      </c>
      <c r="P39" s="328">
        <f>N39*(INDEX('Ex post LI &amp; Eligibility Stats'!$A:$N,MATCH($A39,'Ex post LI &amp; Eligibility Stats'!$A:$A,0),MATCH('Program MW '!O$28,'Ex post LI &amp; Eligibility Stats'!$A$8:$N$8,0))/1000)</f>
        <v>0</v>
      </c>
      <c r="Q39" s="385">
        <v>0</v>
      </c>
      <c r="R39" s="327">
        <f>Q39*(INDEX('Ex ante LI &amp; Eligibility Stats'!$A:$M,MATCH('Program MW '!$A39,'Ex ante LI &amp; Eligibility Stats'!$A:$A,0),MATCH('Program MW '!R$28,'Ex ante LI &amp; Eligibility Stats'!$A$8:$M$8,0))/1000)</f>
        <v>0</v>
      </c>
      <c r="S39" s="328">
        <f>Q39*(INDEX('Ex post LI &amp; Eligibility Stats'!$A:$N,MATCH($A39,'Ex post LI &amp; Eligibility Stats'!$A:$A,0),MATCH('Program MW '!R$28,'Ex post LI &amp; Eligibility Stats'!$A$8:$N$8,0))/1000)</f>
        <v>0</v>
      </c>
      <c r="T39" s="4">
        <v>157189</v>
      </c>
    </row>
    <row r="40" spans="1:26">
      <c r="A40" s="85" t="s">
        <v>24</v>
      </c>
      <c r="B40" s="159">
        <v>0</v>
      </c>
      <c r="C40" s="327">
        <f>B40*(INDEX('Ex ante LI &amp; Eligibility Stats'!$A:$M,MATCH('Program MW '!$A40,'Ex ante LI &amp; Eligibility Stats'!$A:$A,0),MATCH('Program MW '!C$28,'Ex ante LI &amp; Eligibility Stats'!$A$8:$M$8,0))/1000)</f>
        <v>0</v>
      </c>
      <c r="D40" s="328">
        <f>B40*(INDEX('Ex post LI &amp; Eligibility Stats'!$A:$N,MATCH($A40,'Ex post LI &amp; Eligibility Stats'!$A:$A,0),MATCH('Program MW '!C$28,'Ex post LI &amp; Eligibility Stats'!$A$8:$N$8,0))/1000)</f>
        <v>0</v>
      </c>
      <c r="E40" s="159">
        <v>0</v>
      </c>
      <c r="F40" s="327">
        <f>E40*(INDEX('Ex ante LI &amp; Eligibility Stats'!$A:$M,MATCH('Program MW '!$A40,'Ex ante LI &amp; Eligibility Stats'!$A:$A,0),MATCH('Program MW '!F$28,'Ex ante LI &amp; Eligibility Stats'!$A$8:$M$8,0))/1000)</f>
        <v>0</v>
      </c>
      <c r="G40" s="328">
        <f>E40*(INDEX('Ex post LI &amp; Eligibility Stats'!$A:$N,MATCH($A40,'Ex post LI &amp; Eligibility Stats'!$A:$A,0),MATCH('Program MW '!F$28,'Ex post LI &amp; Eligibility Stats'!$A$8:$N$8,0))/1000)</f>
        <v>0</v>
      </c>
      <c r="H40" s="159">
        <v>0</v>
      </c>
      <c r="I40" s="327">
        <f>H40*(INDEX('Ex ante LI &amp; Eligibility Stats'!$A:$M,MATCH('Program MW '!$A40,'Ex ante LI &amp; Eligibility Stats'!$A:$A,0),MATCH('Program MW '!I$28,'Ex ante LI &amp; Eligibility Stats'!$A$8:$M$8,0))/1000)</f>
        <v>0</v>
      </c>
      <c r="J40" s="328">
        <f>H40*(INDEX('Ex post LI &amp; Eligibility Stats'!$A:$N,MATCH($A40,'Ex post LI &amp; Eligibility Stats'!$A:$A,0),MATCH('Program MW '!I$28,'Ex post LI &amp; Eligibility Stats'!$A$8:$N$8,0))/1000)</f>
        <v>0</v>
      </c>
      <c r="K40" s="159">
        <v>0</v>
      </c>
      <c r="L40" s="327">
        <f>K40*(INDEX('Ex ante LI &amp; Eligibility Stats'!$A:$M,MATCH('Program MW '!$A40,'Ex ante LI &amp; Eligibility Stats'!$A:$A,0),MATCH('Program MW '!L$28,'Ex ante LI &amp; Eligibility Stats'!$A$8:$M$8,0))/1000)</f>
        <v>0</v>
      </c>
      <c r="M40" s="328">
        <f>K40*(INDEX('Ex post LI &amp; Eligibility Stats'!$A:$N,MATCH($A40,'Ex post LI &amp; Eligibility Stats'!$A:$A,0),MATCH('Program MW '!L$28,'Ex post LI &amp; Eligibility Stats'!$A$8:$N$8,0))/1000)</f>
        <v>0</v>
      </c>
      <c r="N40" s="159">
        <v>0</v>
      </c>
      <c r="O40" s="327">
        <f>N40*(INDEX('Ex ante LI &amp; Eligibility Stats'!$A:$M,MATCH('Program MW '!$A40,'Ex ante LI &amp; Eligibility Stats'!$A:$A,0),MATCH('Program MW '!O$28,'Ex ante LI &amp; Eligibility Stats'!$A$8:$M$8,0))/1000)</f>
        <v>0</v>
      </c>
      <c r="P40" s="328">
        <f>N40*(INDEX('Ex post LI &amp; Eligibility Stats'!$A:$N,MATCH($A40,'Ex post LI &amp; Eligibility Stats'!$A:$A,0),MATCH('Program MW '!O$28,'Ex post LI &amp; Eligibility Stats'!$A$8:$N$8,0))/1000)</f>
        <v>0</v>
      </c>
      <c r="Q40" s="159">
        <v>0</v>
      </c>
      <c r="R40" s="327">
        <f>Q40*(INDEX('Ex ante LI &amp; Eligibility Stats'!$A:$M,MATCH('Program MW '!$A40,'Ex ante LI &amp; Eligibility Stats'!$A:$A,0),MATCH('Program MW '!R$28,'Ex ante LI &amp; Eligibility Stats'!$A$8:$M$8,0))/1000)</f>
        <v>0</v>
      </c>
      <c r="S40" s="328">
        <f>Q40*(INDEX('Ex post LI &amp; Eligibility Stats'!$A:$N,MATCH($A40,'Ex post LI &amp; Eligibility Stats'!$A:$A,0),MATCH('Program MW '!R$28,'Ex post LI &amp; Eligibility Stats'!$A$8:$N$8,0))/1000)</f>
        <v>0</v>
      </c>
      <c r="T40" s="4">
        <v>18875</v>
      </c>
      <c r="V40" s="408" t="s">
        <v>56</v>
      </c>
    </row>
    <row r="41" spans="1:26">
      <c r="A41" s="85" t="s">
        <v>25</v>
      </c>
      <c r="B41" s="159">
        <v>0</v>
      </c>
      <c r="C41" s="327">
        <f>B41*(INDEX('Ex ante LI &amp; Eligibility Stats'!$A:$M,MATCH('Program MW '!$A41,'Ex ante LI &amp; Eligibility Stats'!$A:$A,0),MATCH('Program MW '!C$28,'Ex ante LI &amp; Eligibility Stats'!$A$8:$M$8,0))/1000)</f>
        <v>0</v>
      </c>
      <c r="D41" s="328">
        <f>B41*(INDEX('Ex post LI &amp; Eligibility Stats'!$A:$N,MATCH($A41,'Ex post LI &amp; Eligibility Stats'!$A:$A,0),MATCH('Program MW '!C$28,'Ex post LI &amp; Eligibility Stats'!$A$8:$N$8,0))/1000)</f>
        <v>0</v>
      </c>
      <c r="E41" s="159">
        <v>0</v>
      </c>
      <c r="F41" s="327">
        <f>E41*(INDEX('Ex ante LI &amp; Eligibility Stats'!$A:$M,MATCH('Program MW '!$A41,'Ex ante LI &amp; Eligibility Stats'!$A:$A,0),MATCH('Program MW '!F$28,'Ex ante LI &amp; Eligibility Stats'!$A$8:$M$8,0))/1000)</f>
        <v>0</v>
      </c>
      <c r="G41" s="328">
        <f>E41*(INDEX('Ex post LI &amp; Eligibility Stats'!$A:$N,MATCH($A41,'Ex post LI &amp; Eligibility Stats'!$A:$A,0),MATCH('Program MW '!F$28,'Ex post LI &amp; Eligibility Stats'!$A$8:$N$8,0))/1000)</f>
        <v>0</v>
      </c>
      <c r="H41" s="159">
        <v>0</v>
      </c>
      <c r="I41" s="327">
        <f>H41*(INDEX('Ex ante LI &amp; Eligibility Stats'!$A:$M,MATCH('Program MW '!$A41,'Ex ante LI &amp; Eligibility Stats'!$A:$A,0),MATCH('Program MW '!I$28,'Ex ante LI &amp; Eligibility Stats'!$A$8:$M$8,0))/1000)</f>
        <v>0</v>
      </c>
      <c r="J41" s="328">
        <f>H41*(INDEX('Ex post LI &amp; Eligibility Stats'!$A:$N,MATCH($A41,'Ex post LI &amp; Eligibility Stats'!$A:$A,0),MATCH('Program MW '!I$28,'Ex post LI &amp; Eligibility Stats'!$A$8:$N$8,0))/1000)</f>
        <v>0</v>
      </c>
      <c r="K41" s="159">
        <v>0</v>
      </c>
      <c r="L41" s="327">
        <f>K41*(INDEX('Ex ante LI &amp; Eligibility Stats'!$A:$M,MATCH('Program MW '!$A41,'Ex ante LI &amp; Eligibility Stats'!$A:$A,0),MATCH('Program MW '!L$28,'Ex ante LI &amp; Eligibility Stats'!$A$8:$M$8,0))/1000)</f>
        <v>0</v>
      </c>
      <c r="M41" s="328">
        <f>K41*(INDEX('Ex post LI &amp; Eligibility Stats'!$A:$N,MATCH($A41,'Ex post LI &amp; Eligibility Stats'!$A:$A,0),MATCH('Program MW '!L$28,'Ex post LI &amp; Eligibility Stats'!$A$8:$N$8,0))/1000)</f>
        <v>0</v>
      </c>
      <c r="N41" s="159">
        <v>0</v>
      </c>
      <c r="O41" s="327">
        <f>N41*(INDEX('Ex ante LI &amp; Eligibility Stats'!$A:$M,MATCH('Program MW '!$A41,'Ex ante LI &amp; Eligibility Stats'!$A:$A,0),MATCH('Program MW '!O$28,'Ex ante LI &amp; Eligibility Stats'!$A$8:$M$8,0))/1000)</f>
        <v>0</v>
      </c>
      <c r="P41" s="328">
        <f>N41*(INDEX('Ex post LI &amp; Eligibility Stats'!$A:$N,MATCH($A41,'Ex post LI &amp; Eligibility Stats'!$A:$A,0),MATCH('Program MW '!O$28,'Ex post LI &amp; Eligibility Stats'!$A$8:$N$8,0))/1000)</f>
        <v>0</v>
      </c>
      <c r="Q41" s="159">
        <v>0</v>
      </c>
      <c r="R41" s="327">
        <f>Q41*(INDEX('Ex ante LI &amp; Eligibility Stats'!$A:$M,MATCH('Program MW '!$A41,'Ex ante LI &amp; Eligibility Stats'!$A:$A,0),MATCH('Program MW '!R$28,'Ex ante LI &amp; Eligibility Stats'!$A$8:$M$8,0))/1000)</f>
        <v>0</v>
      </c>
      <c r="S41" s="328">
        <f>Q41*(INDEX('Ex post LI &amp; Eligibility Stats'!$A:$N,MATCH($A41,'Ex post LI &amp; Eligibility Stats'!$A:$A,0),MATCH('Program MW '!R$28,'Ex post LI &amp; Eligibility Stats'!$A$8:$N$8,0))/1000)</f>
        <v>0</v>
      </c>
      <c r="T41" s="4">
        <v>18875</v>
      </c>
    </row>
    <row r="42" spans="1:26" s="152" customFormat="1">
      <c r="A42" s="272" t="s">
        <v>55</v>
      </c>
      <c r="B42" s="206">
        <v>0</v>
      </c>
      <c r="C42" s="327">
        <f>B42*(INDEX('Ex ante LI &amp; Eligibility Stats'!$A:$M,MATCH('Program MW '!$A42,'Ex ante LI &amp; Eligibility Stats'!$A:$A,0),MATCH('Program MW '!C$28,'Ex ante LI &amp; Eligibility Stats'!$A$8:$M$8,0))/1000)</f>
        <v>0</v>
      </c>
      <c r="D42" s="328">
        <f>B42*(INDEX('Ex post LI &amp; Eligibility Stats'!$A:$N,MATCH($A42,'Ex post LI &amp; Eligibility Stats'!$A:$A,0),MATCH('Program MW '!C$28,'Ex post LI &amp; Eligibility Stats'!$A$8:$N$8,0))/1000)</f>
        <v>0</v>
      </c>
      <c r="E42" s="206">
        <v>0</v>
      </c>
      <c r="F42" s="327">
        <f>E42*(INDEX('Ex ante LI &amp; Eligibility Stats'!$A:$M,MATCH('Program MW '!$A42,'Ex ante LI &amp; Eligibility Stats'!$A:$A,0),MATCH('Program MW '!F$28,'Ex ante LI &amp; Eligibility Stats'!$A$8:$M$8,0))/1000)</f>
        <v>0</v>
      </c>
      <c r="G42" s="328">
        <f>E42*(INDEX('Ex post LI &amp; Eligibility Stats'!$A:$N,MATCH($A42,'Ex post LI &amp; Eligibility Stats'!$A:$A,0),MATCH('Program MW '!F$28,'Ex post LI &amp; Eligibility Stats'!$A$8:$N$8,0))/1000)</f>
        <v>0</v>
      </c>
      <c r="H42" s="206">
        <v>0</v>
      </c>
      <c r="I42" s="327">
        <f>H42*(INDEX('Ex ante LI &amp; Eligibility Stats'!$A:$M,MATCH('Program MW '!$A42,'Ex ante LI &amp; Eligibility Stats'!$A:$A,0),MATCH('Program MW '!I$28,'Ex ante LI &amp; Eligibility Stats'!$A$8:$M$8,0))/1000)</f>
        <v>0</v>
      </c>
      <c r="J42" s="328">
        <f>H42*(INDEX('Ex post LI &amp; Eligibility Stats'!$A:$N,MATCH($A42,'Ex post LI &amp; Eligibility Stats'!$A:$A,0),MATCH('Program MW '!I$28,'Ex post LI &amp; Eligibility Stats'!$A$8:$N$8,0))/1000)</f>
        <v>0</v>
      </c>
      <c r="K42" s="206">
        <v>0</v>
      </c>
      <c r="L42" s="327">
        <f>K42*(INDEX('Ex ante LI &amp; Eligibility Stats'!$A:$M,MATCH('Program MW '!$A42,'Ex ante LI &amp; Eligibility Stats'!$A:$A,0),MATCH('Program MW '!L$28,'Ex ante LI &amp; Eligibility Stats'!$A$8:$M$8,0))/1000)</f>
        <v>0</v>
      </c>
      <c r="M42" s="328">
        <f>K42*(INDEX('Ex post LI &amp; Eligibility Stats'!$A:$N,MATCH($A42,'Ex post LI &amp; Eligibility Stats'!$A:$A,0),MATCH('Program MW '!L$28,'Ex post LI &amp; Eligibility Stats'!$A$8:$N$8,0))/1000)</f>
        <v>0</v>
      </c>
      <c r="N42" s="206">
        <v>0</v>
      </c>
      <c r="O42" s="327">
        <f>N42*(INDEX('Ex ante LI &amp; Eligibility Stats'!$A:$M,MATCH('Program MW '!$A42,'Ex ante LI &amp; Eligibility Stats'!$A:$A,0),MATCH('Program MW '!O$28,'Ex ante LI &amp; Eligibility Stats'!$A$8:$M$8,0))/1000)</f>
        <v>0</v>
      </c>
      <c r="P42" s="328">
        <f>N42*(INDEX('Ex post LI &amp; Eligibility Stats'!$A:$N,MATCH($A42,'Ex post LI &amp; Eligibility Stats'!$A:$A,0),MATCH('Program MW '!O$28,'Ex post LI &amp; Eligibility Stats'!$A$8:$N$8,0))/1000)</f>
        <v>0</v>
      </c>
      <c r="Q42" s="206">
        <v>0</v>
      </c>
      <c r="R42" s="327">
        <f>Q42*(INDEX('Ex ante LI &amp; Eligibility Stats'!$A:$M,MATCH('Program MW '!$A42,'Ex ante LI &amp; Eligibility Stats'!$A:$A,0),MATCH('Program MW '!R$28,'Ex ante LI &amp; Eligibility Stats'!$A$8:$M$8,0))/1000)</f>
        <v>0</v>
      </c>
      <c r="S42" s="328">
        <f>Q42*(INDEX('Ex post LI &amp; Eligibility Stats'!$A:$N,MATCH($A42,'Ex post LI &amp; Eligibility Stats'!$A:$A,0),MATCH('Program MW '!R$28,'Ex post LI &amp; Eligibility Stats'!$A$8:$N$8,0))/1000)</f>
        <v>0</v>
      </c>
      <c r="T42" s="413"/>
    </row>
    <row r="43" spans="1:26">
      <c r="A43" s="85" t="s">
        <v>26</v>
      </c>
      <c r="B43" s="159">
        <v>0</v>
      </c>
      <c r="C43" s="327">
        <f>B43*(INDEX('Ex ante LI &amp; Eligibility Stats'!$A:$M,MATCH('Program MW '!$A43,'Ex ante LI &amp; Eligibility Stats'!$A:$A,0),MATCH('Program MW '!C$28,'Ex ante LI &amp; Eligibility Stats'!$A$8:$M$8,0))/1000)</f>
        <v>0</v>
      </c>
      <c r="D43" s="328">
        <f>B43*(INDEX('Ex post LI &amp; Eligibility Stats'!$A:$N,MATCH($A43,'Ex post LI &amp; Eligibility Stats'!$A:$A,0),MATCH('Program MW '!C$28,'Ex post LI &amp; Eligibility Stats'!$A$8:$N$8,0))/1000)</f>
        <v>0</v>
      </c>
      <c r="E43" s="159">
        <v>0</v>
      </c>
      <c r="F43" s="327">
        <f>E43*(INDEX('Ex ante LI &amp; Eligibility Stats'!$A:$M,MATCH('Program MW '!$A43,'Ex ante LI &amp; Eligibility Stats'!$A:$A,0),MATCH('Program MW '!F$28,'Ex ante LI &amp; Eligibility Stats'!$A$8:$M$8,0))/1000)</f>
        <v>0</v>
      </c>
      <c r="G43" s="328">
        <f>E43*(INDEX('Ex post LI &amp; Eligibility Stats'!$A:$N,MATCH($A43,'Ex post LI &amp; Eligibility Stats'!$A:$A,0),MATCH('Program MW '!F$28,'Ex post LI &amp; Eligibility Stats'!$A$8:$N$8,0))/1000)</f>
        <v>0</v>
      </c>
      <c r="H43" s="159">
        <v>0</v>
      </c>
      <c r="I43" s="327">
        <f>H43*(INDEX('Ex ante LI &amp; Eligibility Stats'!$A:$M,MATCH('Program MW '!$A43,'Ex ante LI &amp; Eligibility Stats'!$A:$A,0),MATCH('Program MW '!I$28,'Ex ante LI &amp; Eligibility Stats'!$A$8:$M$8,0))/1000)</f>
        <v>0</v>
      </c>
      <c r="J43" s="328">
        <f>H43*(INDEX('Ex post LI &amp; Eligibility Stats'!$A:$N,MATCH($A43,'Ex post LI &amp; Eligibility Stats'!$A:$A,0),MATCH('Program MW '!I$28,'Ex post LI &amp; Eligibility Stats'!$A$8:$N$8,0))/1000)</f>
        <v>0</v>
      </c>
      <c r="K43" s="159">
        <v>0</v>
      </c>
      <c r="L43" s="327">
        <f>K43*(INDEX('Ex ante LI &amp; Eligibility Stats'!$A:$M,MATCH('Program MW '!$A43,'Ex ante LI &amp; Eligibility Stats'!$A:$A,0),MATCH('Program MW '!L$28,'Ex ante LI &amp; Eligibility Stats'!$A$8:$M$8,0))/1000)</f>
        <v>0</v>
      </c>
      <c r="M43" s="328">
        <f>K43*(INDEX('Ex post LI &amp; Eligibility Stats'!$A:$N,MATCH($A43,'Ex post LI &amp; Eligibility Stats'!$A:$A,0),MATCH('Program MW '!L$28,'Ex post LI &amp; Eligibility Stats'!$A$8:$N$8,0))/1000)</f>
        <v>0</v>
      </c>
      <c r="N43" s="159">
        <v>0</v>
      </c>
      <c r="O43" s="327">
        <f>N43*(INDEX('Ex ante LI &amp; Eligibility Stats'!$A:$M,MATCH('Program MW '!$A43,'Ex ante LI &amp; Eligibility Stats'!$A:$A,0),MATCH('Program MW '!O$28,'Ex ante LI &amp; Eligibility Stats'!$A$8:$M$8,0))/1000)</f>
        <v>0</v>
      </c>
      <c r="P43" s="328">
        <f>N43*(INDEX('Ex post LI &amp; Eligibility Stats'!$A:$N,MATCH($A43,'Ex post LI &amp; Eligibility Stats'!$A:$A,0),MATCH('Program MW '!O$28,'Ex post LI &amp; Eligibility Stats'!$A$8:$N$8,0))/1000)</f>
        <v>0</v>
      </c>
      <c r="Q43" s="159">
        <v>0</v>
      </c>
      <c r="R43" s="327">
        <f>Q43*(INDEX('Ex ante LI &amp; Eligibility Stats'!$A:$M,MATCH('Program MW '!$A43,'Ex ante LI &amp; Eligibility Stats'!$A:$A,0),MATCH('Program MW '!R$28,'Ex ante LI &amp; Eligibility Stats'!$A$8:$M$8,0))/1000)</f>
        <v>0</v>
      </c>
      <c r="S43" s="328">
        <f>Q43*(INDEX('Ex post LI &amp; Eligibility Stats'!$A:$N,MATCH($A43,'Ex post LI &amp; Eligibility Stats'!$A:$A,0),MATCH('Program MW '!R$28,'Ex post LI &amp; Eligibility Stats'!$A$8:$N$8,0))/1000)</f>
        <v>0</v>
      </c>
      <c r="T43" s="4"/>
    </row>
    <row r="44" spans="1:26">
      <c r="A44" s="42" t="s">
        <v>27</v>
      </c>
      <c r="B44" s="270">
        <v>0</v>
      </c>
      <c r="C44" s="327">
        <f>B44*(INDEX('Ex ante LI &amp; Eligibility Stats'!$A:$M,MATCH('Program MW '!$A44,'Ex ante LI &amp; Eligibility Stats'!$A:$A,0),MATCH('Program MW '!C$28,'Ex ante LI &amp; Eligibility Stats'!$A$8:$M$8,0))/1000)</f>
        <v>0</v>
      </c>
      <c r="D44" s="328">
        <f>B44*(INDEX('Ex post LI &amp; Eligibility Stats'!$A:$N,MATCH($A44,'Ex post LI &amp; Eligibility Stats'!$A:$A,0),MATCH('Program MW '!C$28,'Ex post LI &amp; Eligibility Stats'!$A$8:$N$8,0))/1000)</f>
        <v>0</v>
      </c>
      <c r="E44" s="270">
        <v>0</v>
      </c>
      <c r="F44" s="327">
        <f>E44*(INDEX('Ex ante LI &amp; Eligibility Stats'!$A:$M,MATCH('Program MW '!$A44,'Ex ante LI &amp; Eligibility Stats'!$A:$A,0),MATCH('Program MW '!F$28,'Ex ante LI &amp; Eligibility Stats'!$A$8:$M$8,0))/1000)</f>
        <v>0</v>
      </c>
      <c r="G44" s="328">
        <f>E44*(INDEX('Ex post LI &amp; Eligibility Stats'!$A:$N,MATCH($A44,'Ex post LI &amp; Eligibility Stats'!$A:$A,0),MATCH('Program MW '!F$28,'Ex post LI &amp; Eligibility Stats'!$A$8:$N$8,0))/1000)</f>
        <v>0</v>
      </c>
      <c r="H44" s="270">
        <v>0</v>
      </c>
      <c r="I44" s="327">
        <f>H44*(INDEX('Ex ante LI &amp; Eligibility Stats'!$A:$M,MATCH('Program MW '!$A44,'Ex ante LI &amp; Eligibility Stats'!$A:$A,0),MATCH('Program MW '!I$28,'Ex ante LI &amp; Eligibility Stats'!$A$8:$M$8,0))/1000)</f>
        <v>0</v>
      </c>
      <c r="J44" s="328">
        <f>H44*(INDEX('Ex post LI &amp; Eligibility Stats'!$A:$N,MATCH($A44,'Ex post LI &amp; Eligibility Stats'!$A:$A,0),MATCH('Program MW '!I$28,'Ex post LI &amp; Eligibility Stats'!$A$8:$N$8,0))/1000)</f>
        <v>0</v>
      </c>
      <c r="K44" s="270">
        <v>0</v>
      </c>
      <c r="L44" s="327">
        <f>K44*(INDEX('Ex ante LI &amp; Eligibility Stats'!$A:$M,MATCH('Program MW '!$A44,'Ex ante LI &amp; Eligibility Stats'!$A:$A,0),MATCH('Program MW '!L$28,'Ex ante LI &amp; Eligibility Stats'!$A$8:$M$8,0))/1000)</f>
        <v>0</v>
      </c>
      <c r="M44" s="328">
        <f>K44*(INDEX('Ex post LI &amp; Eligibility Stats'!$A:$N,MATCH($A44,'Ex post LI &amp; Eligibility Stats'!$A:$A,0),MATCH('Program MW '!L$28,'Ex post LI &amp; Eligibility Stats'!$A$8:$N$8,0))/1000)</f>
        <v>0</v>
      </c>
      <c r="N44" s="270">
        <v>0</v>
      </c>
      <c r="O44" s="327">
        <f>N44*(INDEX('Ex ante LI &amp; Eligibility Stats'!$A:$M,MATCH('Program MW '!$A44,'Ex ante LI &amp; Eligibility Stats'!$A:$A,0),MATCH('Program MW '!O$28,'Ex ante LI &amp; Eligibility Stats'!$A$8:$M$8,0))/1000)</f>
        <v>0</v>
      </c>
      <c r="P44" s="328">
        <f>N44*(INDEX('Ex post LI &amp; Eligibility Stats'!$A:$N,MATCH($A44,'Ex post LI &amp; Eligibility Stats'!$A:$A,0),MATCH('Program MW '!O$28,'Ex post LI &amp; Eligibility Stats'!$A$8:$N$8,0))/1000)</f>
        <v>0</v>
      </c>
      <c r="Q44" s="270">
        <v>0</v>
      </c>
      <c r="R44" s="327">
        <f>Q44*(INDEX('Ex ante LI &amp; Eligibility Stats'!$A:$M,MATCH('Program MW '!$A44,'Ex ante LI &amp; Eligibility Stats'!$A:$A,0),MATCH('Program MW '!R$28,'Ex ante LI &amp; Eligibility Stats'!$A$8:$M$8,0))/1000)</f>
        <v>0</v>
      </c>
      <c r="S44" s="328">
        <f>Q44*(INDEX('Ex post LI &amp; Eligibility Stats'!$A:$N,MATCH($A44,'Ex post LI &amp; Eligibility Stats'!$A:$A,0),MATCH('Program MW '!R$28,'Ex post LI &amp; Eligibility Stats'!$A$8:$N$8,0))/1000)</f>
        <v>0</v>
      </c>
      <c r="T44" s="4"/>
    </row>
    <row r="45" spans="1:26" ht="13.5" thickBot="1">
      <c r="A45" s="184" t="s">
        <v>57</v>
      </c>
      <c r="B45" s="3">
        <f t="shared" ref="B45:S45" si="11">SUM(B34:B44)</f>
        <v>0</v>
      </c>
      <c r="C45" s="254">
        <f t="shared" si="11"/>
        <v>0</v>
      </c>
      <c r="D45" s="235">
        <f t="shared" si="11"/>
        <v>0</v>
      </c>
      <c r="E45" s="3">
        <f t="shared" si="11"/>
        <v>0</v>
      </c>
      <c r="F45" s="254">
        <f t="shared" si="11"/>
        <v>0</v>
      </c>
      <c r="G45" s="235">
        <f t="shared" si="11"/>
        <v>0</v>
      </c>
      <c r="H45" s="3">
        <f t="shared" si="11"/>
        <v>0</v>
      </c>
      <c r="I45" s="254">
        <f t="shared" si="11"/>
        <v>0</v>
      </c>
      <c r="J45" s="235">
        <f t="shared" si="11"/>
        <v>0</v>
      </c>
      <c r="K45" s="3">
        <f t="shared" si="11"/>
        <v>0</v>
      </c>
      <c r="L45" s="254">
        <f t="shared" si="11"/>
        <v>0</v>
      </c>
      <c r="M45" s="235">
        <f t="shared" si="11"/>
        <v>0</v>
      </c>
      <c r="N45" s="3">
        <f t="shared" si="11"/>
        <v>0</v>
      </c>
      <c r="O45" s="254">
        <f t="shared" si="11"/>
        <v>0</v>
      </c>
      <c r="P45" s="235">
        <f t="shared" si="11"/>
        <v>0</v>
      </c>
      <c r="Q45" s="3">
        <f t="shared" si="11"/>
        <v>0</v>
      </c>
      <c r="R45" s="254">
        <f t="shared" si="11"/>
        <v>0</v>
      </c>
      <c r="S45" s="235">
        <f t="shared" si="11"/>
        <v>0</v>
      </c>
      <c r="T45" s="9"/>
    </row>
    <row r="46" spans="1:26" ht="14" thickTop="1" thickBot="1">
      <c r="A46" s="191" t="s">
        <v>58</v>
      </c>
      <c r="B46" s="2">
        <f t="shared" ref="B46:S46" si="12">+B32+B45</f>
        <v>0</v>
      </c>
      <c r="C46" s="255">
        <f t="shared" si="12"/>
        <v>0</v>
      </c>
      <c r="D46" s="234">
        <f t="shared" si="12"/>
        <v>0</v>
      </c>
      <c r="E46" s="2">
        <f t="shared" si="12"/>
        <v>0</v>
      </c>
      <c r="F46" s="255">
        <f t="shared" si="12"/>
        <v>0</v>
      </c>
      <c r="G46" s="234">
        <f t="shared" si="12"/>
        <v>0</v>
      </c>
      <c r="H46" s="2">
        <f t="shared" si="12"/>
        <v>0</v>
      </c>
      <c r="I46" s="255">
        <f t="shared" si="12"/>
        <v>0</v>
      </c>
      <c r="J46" s="234">
        <f t="shared" si="12"/>
        <v>0</v>
      </c>
      <c r="K46" s="2">
        <f t="shared" si="12"/>
        <v>0</v>
      </c>
      <c r="L46" s="255">
        <f t="shared" si="12"/>
        <v>0</v>
      </c>
      <c r="M46" s="234">
        <f t="shared" si="12"/>
        <v>0</v>
      </c>
      <c r="N46" s="2">
        <f t="shared" si="12"/>
        <v>0</v>
      </c>
      <c r="O46" s="255">
        <f t="shared" si="12"/>
        <v>0</v>
      </c>
      <c r="P46" s="234">
        <f t="shared" si="12"/>
        <v>0</v>
      </c>
      <c r="Q46" s="2">
        <f t="shared" si="12"/>
        <v>0</v>
      </c>
      <c r="R46" s="255">
        <f t="shared" si="12"/>
        <v>0</v>
      </c>
      <c r="S46" s="234">
        <f t="shared" si="12"/>
        <v>0</v>
      </c>
      <c r="T46" s="12"/>
      <c r="U46" s="6"/>
      <c r="V46" s="12"/>
      <c r="W46" s="12"/>
      <c r="X46" s="6"/>
      <c r="Y46" s="12"/>
      <c r="Z46" s="12"/>
    </row>
    <row r="47" spans="1:26" ht="13.5" thickTop="1">
      <c r="A47" s="146"/>
      <c r="B47" s="12"/>
      <c r="C47" s="12"/>
      <c r="D47" s="6"/>
      <c r="E47" s="12"/>
      <c r="F47" s="12"/>
      <c r="G47" s="12"/>
      <c r="H47" s="6"/>
      <c r="I47" s="12"/>
      <c r="J47" s="12"/>
      <c r="K47" s="12"/>
      <c r="L47" s="12"/>
      <c r="M47" s="6"/>
      <c r="N47" s="12"/>
      <c r="O47" s="12"/>
      <c r="P47" s="12"/>
      <c r="Q47" s="6"/>
      <c r="R47" s="12"/>
      <c r="S47" s="12"/>
      <c r="T47" s="12"/>
      <c r="U47" s="6"/>
      <c r="V47" s="6"/>
      <c r="W47" s="12"/>
      <c r="X47" s="6"/>
      <c r="Y47" s="6"/>
      <c r="Z47" s="12"/>
    </row>
    <row r="48" spans="1:26" ht="14">
      <c r="A48" s="245" t="s">
        <v>63</v>
      </c>
      <c r="B48" s="192"/>
      <c r="C48" s="192"/>
      <c r="D48" s="192"/>
      <c r="E48" s="389"/>
      <c r="F48" s="193"/>
      <c r="G48" s="192"/>
      <c r="H48" s="193"/>
      <c r="I48" s="192"/>
      <c r="J48" s="192"/>
      <c r="K48" s="192"/>
      <c r="L48" s="192"/>
      <c r="M48" s="192"/>
      <c r="N48" s="192"/>
      <c r="O48" s="192"/>
      <c r="P48" s="194"/>
      <c r="Q48" s="192"/>
      <c r="R48" s="192"/>
      <c r="S48" s="192"/>
      <c r="T48" s="13"/>
      <c r="U48" s="13"/>
      <c r="V48" s="13"/>
      <c r="W48" s="13"/>
      <c r="X48" s="13"/>
      <c r="Y48" s="13"/>
      <c r="Z48" s="13"/>
    </row>
    <row r="49" spans="1:26" ht="29.65" customHeight="1">
      <c r="A49" s="674" t="s">
        <v>301</v>
      </c>
      <c r="B49" s="674"/>
      <c r="C49" s="674"/>
      <c r="D49" s="674"/>
      <c r="E49" s="674"/>
      <c r="F49" s="674"/>
      <c r="G49" s="674"/>
      <c r="H49" s="674"/>
      <c r="I49" s="674"/>
      <c r="J49" s="674"/>
      <c r="K49" s="674"/>
      <c r="L49" s="674"/>
      <c r="M49" s="674"/>
      <c r="N49" s="674"/>
      <c r="O49" s="674"/>
    </row>
    <row r="50" spans="1:26" ht="30.4" customHeight="1">
      <c r="A50" s="674" t="s">
        <v>302</v>
      </c>
      <c r="B50" s="674"/>
      <c r="C50" s="674"/>
      <c r="D50" s="674"/>
      <c r="E50" s="674"/>
      <c r="F50" s="674"/>
      <c r="G50" s="674"/>
      <c r="H50" s="674"/>
      <c r="I50" s="674"/>
      <c r="J50" s="674"/>
      <c r="K50" s="674"/>
      <c r="L50" s="674"/>
      <c r="M50" s="674"/>
      <c r="N50" s="674"/>
      <c r="O50" s="674"/>
      <c r="P50" s="13"/>
      <c r="Q50" s="13"/>
      <c r="R50" s="13"/>
      <c r="S50" s="13"/>
      <c r="T50" s="146"/>
      <c r="U50" s="146"/>
      <c r="V50" s="146"/>
      <c r="W50" s="146"/>
      <c r="X50" s="146"/>
      <c r="Y50" s="146"/>
      <c r="Z50" s="146"/>
    </row>
    <row r="51" spans="1:26" s="152" customFormat="1" ht="18" customHeight="1">
      <c r="A51" s="674" t="s">
        <v>253</v>
      </c>
      <c r="B51" s="674"/>
      <c r="C51" s="674"/>
      <c r="D51" s="674"/>
      <c r="E51" s="674"/>
      <c r="F51" s="674"/>
      <c r="G51" s="674"/>
      <c r="H51" s="674"/>
      <c r="I51" s="674"/>
      <c r="J51" s="674"/>
      <c r="K51" s="674"/>
      <c r="L51" s="674"/>
      <c r="M51" s="674"/>
      <c r="N51" s="674"/>
      <c r="O51" s="674"/>
      <c r="P51" s="386"/>
      <c r="Q51" s="386"/>
      <c r="R51" s="386"/>
      <c r="S51" s="386"/>
      <c r="T51" s="203"/>
      <c r="U51" s="203"/>
      <c r="V51" s="203"/>
      <c r="W51" s="203"/>
      <c r="X51" s="203"/>
      <c r="Y51" s="203"/>
      <c r="Z51" s="203"/>
    </row>
    <row r="52" spans="1:26" s="152" customFormat="1" ht="18" customHeight="1">
      <c r="A52" s="674" t="s">
        <v>283</v>
      </c>
      <c r="B52" s="674"/>
      <c r="C52" s="674"/>
      <c r="D52" s="674"/>
      <c r="E52" s="674"/>
      <c r="F52" s="674"/>
      <c r="G52" s="674"/>
      <c r="H52" s="674"/>
      <c r="I52" s="674"/>
      <c r="J52" s="674"/>
      <c r="K52" s="674"/>
      <c r="L52" s="674"/>
      <c r="M52" s="674"/>
      <c r="N52" s="674"/>
      <c r="O52" s="674"/>
      <c r="P52" s="386"/>
      <c r="Q52" s="386"/>
      <c r="R52" s="386"/>
      <c r="S52" s="386"/>
      <c r="T52" s="203"/>
      <c r="U52" s="203"/>
      <c r="V52" s="203"/>
      <c r="W52" s="203"/>
      <c r="X52" s="203"/>
      <c r="Y52" s="203"/>
      <c r="Z52" s="203"/>
    </row>
    <row r="53" spans="1:26" s="152" customFormat="1" ht="13.9" customHeight="1">
      <c r="A53" s="674" t="s">
        <v>308</v>
      </c>
      <c r="B53" s="674"/>
      <c r="C53" s="674"/>
      <c r="D53" s="674"/>
      <c r="E53" s="674"/>
      <c r="F53" s="674"/>
      <c r="G53" s="674"/>
      <c r="H53" s="674"/>
      <c r="I53" s="674"/>
      <c r="J53" s="674"/>
      <c r="K53" s="674"/>
      <c r="L53" s="674"/>
      <c r="M53" s="674"/>
      <c r="N53" s="674"/>
      <c r="O53" s="596"/>
      <c r="P53" s="386"/>
      <c r="Q53" s="386"/>
      <c r="R53" s="386"/>
      <c r="S53" s="386"/>
      <c r="T53" s="203"/>
      <c r="U53" s="203"/>
      <c r="V53" s="203"/>
      <c r="W53" s="203"/>
      <c r="X53" s="203"/>
      <c r="Y53" s="203"/>
      <c r="Z53" s="203"/>
    </row>
    <row r="54" spans="1:26" ht="15.75" customHeight="1">
      <c r="A54" s="530" t="s">
        <v>307</v>
      </c>
      <c r="B54" s="518"/>
      <c r="C54" s="518"/>
      <c r="D54" s="518"/>
      <c r="E54" s="518"/>
      <c r="F54" s="518"/>
      <c r="G54" s="518"/>
      <c r="H54" s="518"/>
      <c r="I54" s="518"/>
      <c r="J54" s="518"/>
      <c r="K54" s="518"/>
      <c r="L54" s="518"/>
      <c r="M54" s="518"/>
      <c r="N54" s="518"/>
      <c r="O54" s="519"/>
    </row>
    <row r="55" spans="1:26" ht="14">
      <c r="A55" s="530" t="s">
        <v>317</v>
      </c>
      <c r="B55" s="518"/>
      <c r="C55" s="518"/>
      <c r="D55" s="518"/>
      <c r="E55" s="518"/>
      <c r="F55" s="518"/>
      <c r="G55" s="518"/>
      <c r="H55" s="518"/>
      <c r="I55" s="518"/>
      <c r="J55" s="518"/>
      <c r="K55" s="518"/>
      <c r="L55" s="518"/>
      <c r="M55" s="518"/>
      <c r="N55" s="518"/>
      <c r="O55" s="519"/>
    </row>
    <row r="56" spans="1:26">
      <c r="B56" s="518"/>
      <c r="C56" s="518"/>
      <c r="D56" s="518"/>
      <c r="E56" s="518"/>
      <c r="F56" s="518"/>
      <c r="G56" s="518"/>
      <c r="H56" s="518"/>
      <c r="I56" s="518"/>
      <c r="J56" s="518"/>
      <c r="K56" s="518"/>
      <c r="L56" s="518"/>
      <c r="M56" s="518"/>
      <c r="N56" s="518"/>
      <c r="O56" s="519"/>
    </row>
    <row r="58" spans="1:26" ht="14">
      <c r="A58" s="236" t="s">
        <v>64</v>
      </c>
    </row>
  </sheetData>
  <mergeCells count="5">
    <mergeCell ref="A49:O49"/>
    <mergeCell ref="A50:O50"/>
    <mergeCell ref="A51:O51"/>
    <mergeCell ref="A52:O52"/>
    <mergeCell ref="A53:N53"/>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topLeftCell="A7" zoomScaleNormal="100" zoomScaleSheetLayoutView="100" workbookViewId="0">
      <pane xSplit="1" ySplit="2" topLeftCell="B17" activePane="bottomRight" state="frozen"/>
      <selection activeCell="A7" sqref="A7"/>
      <selection pane="topRight" activeCell="B7" sqref="B7"/>
      <selection pane="bottomLeft" activeCell="A9" sqref="A9"/>
      <selection pane="bottomRight" activeCell="C18" sqref="C18"/>
    </sheetView>
  </sheetViews>
  <sheetFormatPr defaultColWidth="9.26953125" defaultRowHeight="12.5"/>
  <cols>
    <col min="1" max="1" width="33.6328125" customWidth="1"/>
    <col min="2" max="2" width="9" customWidth="1"/>
    <col min="3" max="3" width="10.36328125" customWidth="1"/>
    <col min="4" max="4" width="9" customWidth="1"/>
    <col min="5" max="9" width="10.6328125" customWidth="1"/>
    <col min="10" max="10" width="11.6328125" customWidth="1"/>
    <col min="11" max="11" width="10.6328125" customWidth="1"/>
    <col min="12" max="12" width="10.7265625" customWidth="1"/>
    <col min="13" max="13" width="10.26953125" customWidth="1"/>
    <col min="14" max="14" width="18.7265625" style="153" customWidth="1"/>
    <col min="15" max="15" width="149.6328125" customWidth="1"/>
  </cols>
  <sheetData>
    <row r="2" spans="1:16" ht="13">
      <c r="A2" s="38"/>
      <c r="H2" s="148" t="s">
        <v>39</v>
      </c>
      <c r="N2" s="350"/>
    </row>
    <row r="3" spans="1:16" ht="13">
      <c r="E3" s="351"/>
      <c r="H3" s="151" t="str">
        <f>'Program MW '!H3</f>
        <v>April 2021</v>
      </c>
      <c r="N3" s="350"/>
    </row>
    <row r="4" spans="1:16">
      <c r="E4" s="150"/>
      <c r="F4" s="150"/>
      <c r="G4" s="150"/>
      <c r="I4" s="150"/>
      <c r="N4" s="350"/>
    </row>
    <row r="5" spans="1:16" ht="13">
      <c r="B5" s="150"/>
      <c r="C5" s="150"/>
      <c r="D5" s="150"/>
      <c r="F5" s="149"/>
      <c r="N5" s="350"/>
      <c r="O5" s="41"/>
    </row>
    <row r="6" spans="1:16" ht="13">
      <c r="F6" s="149"/>
      <c r="N6" s="350"/>
    </row>
    <row r="7" spans="1:16" ht="13.5" customHeight="1">
      <c r="A7" s="675" t="s">
        <v>65</v>
      </c>
      <c r="B7" s="676"/>
      <c r="C7" s="676"/>
      <c r="D7" s="676"/>
      <c r="E7" s="676"/>
      <c r="F7" s="676"/>
      <c r="G7" s="676"/>
      <c r="H7" s="676"/>
      <c r="I7" s="676"/>
      <c r="J7" s="676"/>
      <c r="K7" s="676"/>
      <c r="L7" s="676"/>
      <c r="M7" s="676"/>
      <c r="N7" s="677"/>
      <c r="O7" s="388"/>
    </row>
    <row r="8" spans="1:16" ht="38.25" customHeight="1">
      <c r="A8" s="40" t="s">
        <v>1</v>
      </c>
      <c r="B8" s="424" t="s">
        <v>41</v>
      </c>
      <c r="C8" s="424" t="s">
        <v>42</v>
      </c>
      <c r="D8" s="424" t="s">
        <v>43</v>
      </c>
      <c r="E8" s="424" t="s">
        <v>44</v>
      </c>
      <c r="F8" s="424" t="s">
        <v>31</v>
      </c>
      <c r="G8" s="424" t="s">
        <v>45</v>
      </c>
      <c r="H8" s="424" t="s">
        <v>59</v>
      </c>
      <c r="I8" s="424" t="s">
        <v>66</v>
      </c>
      <c r="J8" s="424" t="s">
        <v>67</v>
      </c>
      <c r="K8" s="424" t="s">
        <v>61</v>
      </c>
      <c r="L8" s="424" t="s">
        <v>68</v>
      </c>
      <c r="M8" s="424" t="s">
        <v>62</v>
      </c>
      <c r="N8" s="422" t="s">
        <v>69</v>
      </c>
      <c r="O8" s="273" t="s">
        <v>70</v>
      </c>
    </row>
    <row r="9" spans="1:16" ht="75.75" customHeight="1">
      <c r="A9" s="425" t="s">
        <v>8</v>
      </c>
      <c r="B9" s="426">
        <v>147.93927001953125</v>
      </c>
      <c r="C9" s="426">
        <v>123.35836029052734</v>
      </c>
      <c r="D9" s="426">
        <v>154.17617797851563</v>
      </c>
      <c r="E9" s="426">
        <v>141.36283874511719</v>
      </c>
      <c r="F9" s="426">
        <v>137.30026245117188</v>
      </c>
      <c r="G9" s="426">
        <v>167.08448791503906</v>
      </c>
      <c r="H9" s="426">
        <v>159.48800659179688</v>
      </c>
      <c r="I9" s="426">
        <v>159.82838439941406</v>
      </c>
      <c r="J9" s="426">
        <v>182.0330810546875</v>
      </c>
      <c r="K9" s="426">
        <v>153.41392517089844</v>
      </c>
      <c r="L9" s="426">
        <v>178.67237854003906</v>
      </c>
      <c r="M9" s="426">
        <v>115.07282257080078</v>
      </c>
      <c r="N9" s="427">
        <v>5326</v>
      </c>
      <c r="O9" s="416" t="s">
        <v>249</v>
      </c>
      <c r="P9" s="426"/>
    </row>
    <row r="10" spans="1:16" ht="75.75" customHeight="1">
      <c r="A10" s="428" t="s">
        <v>11</v>
      </c>
      <c r="B10" s="429">
        <v>0.14000000000000001</v>
      </c>
      <c r="C10" s="429">
        <v>0.14000000000000001</v>
      </c>
      <c r="D10" s="426">
        <v>0</v>
      </c>
      <c r="E10" s="426">
        <v>0</v>
      </c>
      <c r="F10" s="426">
        <v>0</v>
      </c>
      <c r="G10" s="426">
        <v>0</v>
      </c>
      <c r="H10" s="426">
        <v>0</v>
      </c>
      <c r="I10" s="426">
        <v>0</v>
      </c>
      <c r="J10" s="426">
        <v>0</v>
      </c>
      <c r="K10" s="426">
        <v>0</v>
      </c>
      <c r="L10" s="426">
        <v>0</v>
      </c>
      <c r="M10" s="426">
        <v>0</v>
      </c>
      <c r="N10" s="430">
        <v>24298</v>
      </c>
      <c r="O10" s="416" t="s">
        <v>71</v>
      </c>
    </row>
    <row r="11" spans="1:16" ht="75.75" customHeight="1">
      <c r="A11" s="428" t="s">
        <v>17</v>
      </c>
      <c r="B11" s="429">
        <v>1.1249953786318656E-5</v>
      </c>
      <c r="C11" s="429">
        <v>2.6053535293613095E-6</v>
      </c>
      <c r="D11" s="426">
        <v>0</v>
      </c>
      <c r="E11" s="426">
        <v>3.6579277366399765E-2</v>
      </c>
      <c r="F11" s="426">
        <v>8.1266388297080994E-2</v>
      </c>
      <c r="G11" s="426">
        <v>5.1364414393901825E-2</v>
      </c>
      <c r="H11" s="426">
        <v>0.16627712547779083</v>
      </c>
      <c r="I11" s="426">
        <v>0.22152504324913025</v>
      </c>
      <c r="J11" s="426">
        <v>0.28739506006240845</v>
      </c>
      <c r="K11" s="426">
        <v>0.1512436717748642</v>
      </c>
      <c r="L11" s="426">
        <v>2.2867627441883087E-2</v>
      </c>
      <c r="M11" s="426">
        <v>0</v>
      </c>
      <c r="N11" s="431">
        <v>590220</v>
      </c>
      <c r="O11" s="416" t="s">
        <v>250</v>
      </c>
    </row>
    <row r="12" spans="1:16" ht="75.75" customHeight="1">
      <c r="A12" s="428" t="s">
        <v>20</v>
      </c>
      <c r="B12" s="429">
        <v>3.6358251236379147E-4</v>
      </c>
      <c r="C12" s="429">
        <v>8.4200954006519169E-5</v>
      </c>
      <c r="D12" s="426">
        <v>0</v>
      </c>
      <c r="E12" s="426">
        <v>0.3435758650302887</v>
      </c>
      <c r="F12" s="426">
        <v>0.92136132717132568</v>
      </c>
      <c r="G12" s="426">
        <v>0.85638010501861572</v>
      </c>
      <c r="H12" s="426">
        <v>2.0786657333374023</v>
      </c>
      <c r="I12" s="426">
        <v>3.0234215259552002</v>
      </c>
      <c r="J12" s="426">
        <v>2.5092508792877197</v>
      </c>
      <c r="K12" s="426">
        <v>2.084477424621582</v>
      </c>
      <c r="L12" s="426">
        <v>0.46237781643867493</v>
      </c>
      <c r="M12" s="426">
        <v>0</v>
      </c>
      <c r="N12" s="431">
        <v>133226</v>
      </c>
      <c r="O12" s="416" t="s">
        <v>72</v>
      </c>
    </row>
    <row r="13" spans="1:16" ht="75.75" customHeight="1">
      <c r="A13" s="428" t="s">
        <v>21</v>
      </c>
      <c r="B13" s="432">
        <v>0</v>
      </c>
      <c r="C13" s="432">
        <v>0</v>
      </c>
      <c r="D13" s="426">
        <v>0</v>
      </c>
      <c r="E13" s="426">
        <v>2.7623999999999999E-2</v>
      </c>
      <c r="F13" s="426">
        <v>5.7694599999999999E-2</v>
      </c>
      <c r="G13" s="426">
        <v>3.6857399999999998E-2</v>
      </c>
      <c r="H13" s="426">
        <v>0.13324759999999999</v>
      </c>
      <c r="I13" s="426">
        <v>0.19637180000000001</v>
      </c>
      <c r="J13" s="426">
        <v>0.24341650000000001</v>
      </c>
      <c r="K13" s="426">
        <v>0.12678610000000001</v>
      </c>
      <c r="L13" s="426">
        <v>0</v>
      </c>
      <c r="M13" s="426">
        <v>0</v>
      </c>
      <c r="N13" s="431">
        <v>590220</v>
      </c>
      <c r="O13" s="416" t="s">
        <v>251</v>
      </c>
    </row>
    <row r="14" spans="1:16" ht="75.75" customHeight="1">
      <c r="A14" s="428" t="s">
        <v>23</v>
      </c>
      <c r="B14" s="432">
        <v>0</v>
      </c>
      <c r="C14" s="432">
        <v>0</v>
      </c>
      <c r="D14" s="426">
        <v>0</v>
      </c>
      <c r="E14" s="426">
        <v>5.6296800000000001E-2</v>
      </c>
      <c r="F14" s="426">
        <v>6.4429500000000001E-2</v>
      </c>
      <c r="G14" s="426">
        <v>5.9807899999999997E-2</v>
      </c>
      <c r="H14" s="426">
        <v>8.1098299999999998E-2</v>
      </c>
      <c r="I14" s="426">
        <v>9.1515600000000003E-2</v>
      </c>
      <c r="J14" s="426">
        <v>0.1040353</v>
      </c>
      <c r="K14" s="426">
        <v>8.3492899999999995E-2</v>
      </c>
      <c r="L14" s="426">
        <v>0</v>
      </c>
      <c r="M14" s="426">
        <v>0</v>
      </c>
      <c r="N14" s="431">
        <v>133226</v>
      </c>
      <c r="O14" s="416" t="s">
        <v>252</v>
      </c>
    </row>
    <row r="15" spans="1:16" ht="75.75" customHeight="1">
      <c r="A15" s="428" t="s">
        <v>24</v>
      </c>
      <c r="B15" s="432">
        <v>0</v>
      </c>
      <c r="C15" s="432">
        <v>0</v>
      </c>
      <c r="D15" s="426">
        <v>0</v>
      </c>
      <c r="E15" s="426">
        <v>0</v>
      </c>
      <c r="F15" s="426">
        <v>11.825189999999999</v>
      </c>
      <c r="G15" s="426">
        <v>11.825189999999999</v>
      </c>
      <c r="H15" s="426">
        <v>11.825189999999999</v>
      </c>
      <c r="I15" s="426">
        <v>11.825189999999999</v>
      </c>
      <c r="J15" s="426">
        <v>11.825189999999999</v>
      </c>
      <c r="K15" s="426">
        <v>11.825189999999999</v>
      </c>
      <c r="L15" s="426">
        <v>0</v>
      </c>
      <c r="M15" s="426">
        <v>0</v>
      </c>
      <c r="N15" s="430">
        <v>78368</v>
      </c>
      <c r="O15" s="416" t="s">
        <v>73</v>
      </c>
    </row>
    <row r="16" spans="1:16" ht="75.75" customHeight="1">
      <c r="A16" s="428" t="s">
        <v>25</v>
      </c>
      <c r="B16" s="432">
        <v>0</v>
      </c>
      <c r="C16" s="432">
        <v>0</v>
      </c>
      <c r="D16" s="426">
        <v>0</v>
      </c>
      <c r="E16" s="426">
        <v>0</v>
      </c>
      <c r="F16" s="426">
        <v>9.0606369999999998</v>
      </c>
      <c r="G16" s="426">
        <v>9.0606369999999998</v>
      </c>
      <c r="H16" s="426">
        <v>9.0606369999999998</v>
      </c>
      <c r="I16" s="426">
        <v>9.0606369999999998</v>
      </c>
      <c r="J16" s="426">
        <v>9.0606369999999998</v>
      </c>
      <c r="K16" s="426">
        <v>9.0606369999999998</v>
      </c>
      <c r="L16" s="426">
        <v>0</v>
      </c>
      <c r="M16" s="426">
        <v>0</v>
      </c>
      <c r="N16" s="430">
        <v>78368</v>
      </c>
      <c r="O16" s="416" t="s">
        <v>73</v>
      </c>
    </row>
    <row r="17" spans="1:15" ht="75.75" customHeight="1">
      <c r="A17" s="428" t="s">
        <v>27</v>
      </c>
      <c r="B17" s="429">
        <v>3.8699023425579071E-2</v>
      </c>
      <c r="C17" s="429">
        <v>3.4362420439720154E-2</v>
      </c>
      <c r="D17" s="426">
        <v>4.2291874821189825E-2</v>
      </c>
      <c r="E17" s="426">
        <v>4.6052272182349342E-2</v>
      </c>
      <c r="F17" s="426">
        <v>9.885066047078217E-2</v>
      </c>
      <c r="G17" s="426">
        <v>7.4932532811322408E-2</v>
      </c>
      <c r="H17" s="426">
        <v>8.597143254338098E-2</v>
      </c>
      <c r="I17" s="426">
        <v>9.1918985532060252E-2</v>
      </c>
      <c r="J17" s="426">
        <v>0.10056453415944168</v>
      </c>
      <c r="K17" s="426">
        <v>9.3665201236999687E-2</v>
      </c>
      <c r="L17" s="426">
        <v>0.14194687939870335</v>
      </c>
      <c r="M17" s="426">
        <v>0.16120215621047654</v>
      </c>
      <c r="N17" s="430">
        <v>1292629</v>
      </c>
      <c r="O17" s="416" t="s">
        <v>74</v>
      </c>
    </row>
    <row r="18" spans="1:15" ht="160.5" customHeight="1">
      <c r="A18" s="532" t="s">
        <v>26</v>
      </c>
      <c r="B18" s="434">
        <v>0.01</v>
      </c>
      <c r="C18" s="434">
        <v>0.01</v>
      </c>
      <c r="D18" s="533">
        <v>1.04106768919839E-4</v>
      </c>
      <c r="E18" s="533">
        <v>7.3445614094823331E-4</v>
      </c>
      <c r="F18" s="533">
        <v>1.3674112203188298E-3</v>
      </c>
      <c r="G18" s="533">
        <v>8.7751531743847301E-4</v>
      </c>
      <c r="H18" s="533">
        <v>2.1878068924228323E-3</v>
      </c>
      <c r="I18" s="533">
        <v>3.1452219928486133E-3</v>
      </c>
      <c r="J18" s="533">
        <v>4.4619246315722007E-3</v>
      </c>
      <c r="K18" s="533">
        <v>2.8590413124677172E-3</v>
      </c>
      <c r="L18" s="533">
        <v>3.151220920205923E-4</v>
      </c>
      <c r="M18" s="533">
        <v>-7.7720472862196388E-5</v>
      </c>
      <c r="N18" s="534">
        <v>120672</v>
      </c>
      <c r="O18" s="535" t="s">
        <v>74</v>
      </c>
    </row>
    <row r="19" spans="1:15" ht="50">
      <c r="A19" s="425" t="s">
        <v>55</v>
      </c>
      <c r="B19" s="536">
        <v>7.0191817358136177E-3</v>
      </c>
      <c r="C19" s="536">
        <v>7.0191817358136177E-3</v>
      </c>
      <c r="D19" s="536">
        <v>8.5556581616401672E-3</v>
      </c>
      <c r="E19" s="536">
        <v>0</v>
      </c>
      <c r="F19" s="536">
        <v>0</v>
      </c>
      <c r="G19" s="536">
        <v>0</v>
      </c>
      <c r="H19" s="536">
        <v>0</v>
      </c>
      <c r="I19" s="536">
        <v>0</v>
      </c>
      <c r="J19" s="536">
        <v>0</v>
      </c>
      <c r="K19" s="536">
        <v>0</v>
      </c>
      <c r="L19" s="536">
        <v>0</v>
      </c>
      <c r="M19" s="536">
        <v>0</v>
      </c>
      <c r="N19" s="537">
        <v>2822</v>
      </c>
      <c r="O19" s="274" t="s">
        <v>75</v>
      </c>
    </row>
    <row r="20" spans="1:15" s="417" customFormat="1" ht="51" customHeight="1">
      <c r="A20" s="449"/>
      <c r="B20" s="450"/>
      <c r="C20" s="450"/>
      <c r="D20" s="450"/>
      <c r="E20" s="450"/>
      <c r="F20" s="450"/>
      <c r="G20" s="450"/>
      <c r="H20" s="450"/>
      <c r="I20" s="450"/>
      <c r="J20" s="450"/>
      <c r="K20" s="450"/>
      <c r="L20" s="450"/>
      <c r="M20" s="450"/>
      <c r="N20" s="451"/>
      <c r="O20" s="421"/>
    </row>
    <row r="21" spans="1:15">
      <c r="A21" s="449"/>
      <c r="B21" s="450"/>
      <c r="C21" s="450"/>
      <c r="D21" s="450"/>
      <c r="E21" s="450"/>
      <c r="F21" s="450"/>
      <c r="G21" s="450"/>
      <c r="H21" s="450"/>
      <c r="I21" s="450"/>
      <c r="J21" s="450"/>
      <c r="K21" s="450"/>
      <c r="L21" s="450"/>
      <c r="M21" s="450"/>
      <c r="N21" s="452"/>
      <c r="O21" s="421"/>
    </row>
    <row r="22" spans="1:15" ht="14">
      <c r="A22" s="246" t="s">
        <v>63</v>
      </c>
      <c r="B22" s="352"/>
      <c r="C22" s="352"/>
      <c r="D22" s="352"/>
      <c r="E22" s="352"/>
      <c r="F22" s="353"/>
      <c r="G22" s="352"/>
      <c r="H22" s="353"/>
      <c r="I22" s="352"/>
      <c r="J22" s="352"/>
      <c r="K22" s="352"/>
      <c r="L22" s="352"/>
      <c r="M22" s="352"/>
      <c r="N22" s="350"/>
      <c r="O22" s="352"/>
    </row>
    <row r="23" spans="1:15" ht="30.4" customHeight="1">
      <c r="A23" s="682" t="s">
        <v>299</v>
      </c>
      <c r="B23" s="682"/>
      <c r="C23" s="682"/>
      <c r="D23" s="682"/>
      <c r="E23" s="682"/>
      <c r="F23" s="682"/>
      <c r="G23" s="682"/>
      <c r="H23" s="682"/>
      <c r="I23" s="682"/>
      <c r="J23" s="682"/>
      <c r="K23" s="682"/>
      <c r="L23" s="682"/>
      <c r="M23" s="682"/>
      <c r="N23" s="594"/>
      <c r="O23" s="594"/>
    </row>
    <row r="24" spans="1:15" ht="14">
      <c r="A24" s="678" t="s">
        <v>76</v>
      </c>
      <c r="B24" s="679"/>
      <c r="C24" s="679"/>
      <c r="D24" s="679"/>
      <c r="E24" s="679"/>
      <c r="F24" s="679"/>
      <c r="G24" s="679"/>
      <c r="H24" s="679"/>
      <c r="I24" s="679"/>
      <c r="J24" s="679"/>
      <c r="K24" s="679"/>
      <c r="L24" s="679"/>
      <c r="M24" s="679"/>
      <c r="N24" s="679"/>
      <c r="O24" s="538"/>
    </row>
    <row r="25" spans="1:15" ht="14">
      <c r="A25" s="539" t="s">
        <v>77</v>
      </c>
      <c r="B25" s="538"/>
      <c r="C25" s="538"/>
      <c r="D25" s="538"/>
      <c r="E25" s="538"/>
      <c r="F25" s="538"/>
      <c r="G25" s="41"/>
      <c r="H25" s="41"/>
      <c r="I25" s="41"/>
      <c r="J25" s="41"/>
      <c r="K25" s="41"/>
      <c r="L25" s="41"/>
      <c r="M25" s="41"/>
      <c r="N25" s="41"/>
      <c r="O25" s="41"/>
    </row>
    <row r="26" spans="1:15" s="150" customFormat="1" ht="14">
      <c r="A26" s="680" t="s">
        <v>254</v>
      </c>
      <c r="B26" s="681"/>
      <c r="C26" s="681"/>
      <c r="D26" s="681"/>
      <c r="E26" s="681"/>
      <c r="F26" s="681"/>
      <c r="G26" s="681"/>
      <c r="H26" s="681"/>
      <c r="I26" s="681"/>
      <c r="J26" s="681"/>
      <c r="K26" s="681"/>
      <c r="L26" s="681"/>
      <c r="M26" s="681"/>
      <c r="N26" s="681"/>
      <c r="O26" s="538"/>
    </row>
    <row r="27" spans="1:15" ht="14">
      <c r="A27" s="236" t="s">
        <v>64</v>
      </c>
      <c r="B27" s="543"/>
      <c r="C27" s="543"/>
      <c r="D27" s="543"/>
      <c r="E27" s="543"/>
      <c r="F27" s="543"/>
      <c r="G27" s="543"/>
      <c r="H27" s="543"/>
      <c r="I27" s="543"/>
      <c r="J27" s="543"/>
      <c r="K27" s="543"/>
      <c r="L27" s="543"/>
      <c r="M27" s="543"/>
      <c r="N27" s="543"/>
      <c r="O27" s="531" t="s">
        <v>79</v>
      </c>
    </row>
    <row r="28" spans="1:15" ht="14">
      <c r="A28" s="463"/>
      <c r="B28" s="435"/>
      <c r="C28" s="435"/>
      <c r="D28" s="435"/>
      <c r="E28" s="435"/>
      <c r="F28" s="435"/>
      <c r="G28" s="435"/>
      <c r="H28" s="435"/>
      <c r="I28" s="435"/>
      <c r="J28" s="435"/>
      <c r="K28" s="435"/>
      <c r="L28" s="435"/>
      <c r="M28" s="435"/>
      <c r="N28" s="435"/>
      <c r="O28" s="435"/>
    </row>
    <row r="29" spans="1:15">
      <c r="N29" s="350"/>
    </row>
    <row r="30" spans="1:15">
      <c r="N30" s="350"/>
    </row>
  </sheetData>
  <mergeCells count="4">
    <mergeCell ref="A7:N7"/>
    <mergeCell ref="A24:N24"/>
    <mergeCell ref="A26:N26"/>
    <mergeCell ref="A23:M23"/>
  </mergeCells>
  <phoneticPr fontId="43"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4"/>
  <sheetViews>
    <sheetView showGridLines="0" showRuler="0" zoomScaleNormal="100" zoomScaleSheetLayoutView="100" workbookViewId="0">
      <selection activeCell="A24" sqref="A24:N24"/>
    </sheetView>
  </sheetViews>
  <sheetFormatPr defaultColWidth="9.26953125" defaultRowHeight="40.5" customHeight="1"/>
  <cols>
    <col min="1" max="1" width="35" customWidth="1"/>
    <col min="2" max="9" width="10.7265625" customWidth="1"/>
    <col min="10" max="10" width="11.36328125" customWidth="1"/>
    <col min="11" max="13" width="10.7265625" customWidth="1"/>
    <col min="14" max="14" width="14.26953125" style="201" bestFit="1" customWidth="1"/>
    <col min="15" max="15" width="149.6328125" customWidth="1"/>
  </cols>
  <sheetData>
    <row r="1" spans="1:16" ht="12.5">
      <c r="N1" s="354"/>
    </row>
    <row r="2" spans="1:16" ht="13">
      <c r="H2" s="148" t="s">
        <v>39</v>
      </c>
      <c r="N2" s="354"/>
    </row>
    <row r="3" spans="1:16" ht="13">
      <c r="H3" s="198" t="str">
        <f>'Program MW '!H3</f>
        <v>April 2021</v>
      </c>
      <c r="N3" s="354"/>
    </row>
    <row r="4" spans="1:16" ht="12.5">
      <c r="F4" s="150"/>
      <c r="G4" s="150"/>
      <c r="I4" s="150"/>
      <c r="N4" s="354"/>
      <c r="O4" s="41"/>
    </row>
    <row r="5" spans="1:16" ht="13">
      <c r="B5" s="150"/>
      <c r="C5" s="150"/>
      <c r="D5" s="150"/>
      <c r="F5" s="148"/>
      <c r="N5" s="354"/>
    </row>
    <row r="6" spans="1:16" ht="13">
      <c r="F6" s="148"/>
      <c r="N6" s="354"/>
    </row>
    <row r="7" spans="1:16" ht="22.5" customHeight="1">
      <c r="A7" s="683" t="s">
        <v>80</v>
      </c>
      <c r="B7" s="684"/>
      <c r="C7" s="684"/>
      <c r="D7" s="684"/>
      <c r="E7" s="684"/>
      <c r="F7" s="684"/>
      <c r="G7" s="684"/>
      <c r="H7" s="684"/>
      <c r="I7" s="684"/>
      <c r="J7" s="684"/>
      <c r="K7" s="684"/>
      <c r="L7" s="684"/>
      <c r="M7" s="684"/>
      <c r="N7" s="685"/>
      <c r="O7" s="39"/>
    </row>
    <row r="8" spans="1:16" ht="40.5" customHeight="1">
      <c r="A8" s="40" t="s">
        <v>1</v>
      </c>
      <c r="B8" s="424" t="s">
        <v>41</v>
      </c>
      <c r="C8" s="424" t="s">
        <v>42</v>
      </c>
      <c r="D8" s="424" t="s">
        <v>43</v>
      </c>
      <c r="E8" s="424" t="s">
        <v>44</v>
      </c>
      <c r="F8" s="424" t="s">
        <v>31</v>
      </c>
      <c r="G8" s="424" t="s">
        <v>45</v>
      </c>
      <c r="H8" s="424" t="s">
        <v>59</v>
      </c>
      <c r="I8" s="424" t="s">
        <v>66</v>
      </c>
      <c r="J8" s="424" t="s">
        <v>67</v>
      </c>
      <c r="K8" s="424" t="s">
        <v>61</v>
      </c>
      <c r="L8" s="424" t="s">
        <v>68</v>
      </c>
      <c r="M8" s="424" t="s">
        <v>62</v>
      </c>
      <c r="N8" s="423" t="str">
        <f>'Ex ante LI &amp; Eligibility Stats'!N8:N8</f>
        <v>Eligible Accounts as of January</v>
      </c>
      <c r="O8" s="273" t="s">
        <v>70</v>
      </c>
    </row>
    <row r="9" spans="1:16" ht="75.75" customHeight="1">
      <c r="A9" s="425" t="s">
        <v>8</v>
      </c>
      <c r="B9" s="426">
        <v>106.08</v>
      </c>
      <c r="C9" s="426">
        <v>106.08</v>
      </c>
      <c r="D9" s="426">
        <v>106</v>
      </c>
      <c r="E9" s="426">
        <v>106</v>
      </c>
      <c r="F9" s="426">
        <v>106</v>
      </c>
      <c r="G9" s="426">
        <v>106</v>
      </c>
      <c r="H9" s="426">
        <v>106</v>
      </c>
      <c r="I9" s="426">
        <v>106</v>
      </c>
      <c r="J9" s="426">
        <v>106</v>
      </c>
      <c r="K9" s="426">
        <v>106</v>
      </c>
      <c r="L9" s="426">
        <v>106</v>
      </c>
      <c r="M9" s="426">
        <v>106</v>
      </c>
      <c r="N9" s="433">
        <f>'Ex ante LI &amp; Eligibility Stats'!N9</f>
        <v>5326</v>
      </c>
      <c r="O9" s="274"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c r="P9" s="426"/>
    </row>
    <row r="10" spans="1:16" ht="75.75" customHeight="1">
      <c r="A10" s="544" t="s">
        <v>11</v>
      </c>
      <c r="B10" s="545">
        <v>0.4</v>
      </c>
      <c r="C10" s="545">
        <v>0.4</v>
      </c>
      <c r="D10" s="426">
        <v>0.48120716908709499</v>
      </c>
      <c r="E10" s="426">
        <v>0.48120716908709499</v>
      </c>
      <c r="F10" s="426">
        <v>0.48120716908709499</v>
      </c>
      <c r="G10" s="426">
        <v>0.48120716908709499</v>
      </c>
      <c r="H10" s="426">
        <v>0.48120716908709499</v>
      </c>
      <c r="I10" s="426">
        <v>0.48120716908709499</v>
      </c>
      <c r="J10" s="426">
        <v>0.48120716908709499</v>
      </c>
      <c r="K10" s="426">
        <v>0.48120716908709499</v>
      </c>
      <c r="L10" s="426">
        <v>0.48120716908709499</v>
      </c>
      <c r="M10" s="426">
        <v>0.48120716908709499</v>
      </c>
      <c r="N10" s="431">
        <f>'Ex ante LI &amp; Eligibility Stats'!N10</f>
        <v>24298</v>
      </c>
      <c r="O10" s="274"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28" t="s">
        <v>17</v>
      </c>
      <c r="B11" s="429">
        <v>0.32</v>
      </c>
      <c r="C11" s="429">
        <v>0.32</v>
      </c>
      <c r="D11" s="426">
        <v>0.30028513073921204</v>
      </c>
      <c r="E11" s="426">
        <v>0.30028513073921204</v>
      </c>
      <c r="F11" s="426">
        <v>0.30028513073921204</v>
      </c>
      <c r="G11" s="426">
        <v>0.30028513073921204</v>
      </c>
      <c r="H11" s="426">
        <v>0.30028513073921204</v>
      </c>
      <c r="I11" s="426">
        <v>0.30028513073921204</v>
      </c>
      <c r="J11" s="426">
        <v>0.30028513073921204</v>
      </c>
      <c r="K11" s="426">
        <v>0.30028513073921204</v>
      </c>
      <c r="L11" s="426">
        <v>0.30028513073921204</v>
      </c>
      <c r="M11" s="426">
        <v>0.30028513073921204</v>
      </c>
      <c r="N11" s="431">
        <f>'Ex ante LI &amp; Eligibility Stats'!N11</f>
        <v>590220</v>
      </c>
      <c r="O11" s="274"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v>
      </c>
    </row>
    <row r="12" spans="1:16" ht="75.75" customHeight="1">
      <c r="A12" s="428" t="s">
        <v>20</v>
      </c>
      <c r="B12" s="429">
        <v>0.46</v>
      </c>
      <c r="C12" s="429">
        <v>0.46</v>
      </c>
      <c r="D12" s="426">
        <v>0.4638446569442749</v>
      </c>
      <c r="E12" s="426">
        <v>0.4638446569442749</v>
      </c>
      <c r="F12" s="426">
        <v>0.4638446569442749</v>
      </c>
      <c r="G12" s="426">
        <v>0.4638446569442749</v>
      </c>
      <c r="H12" s="426">
        <v>0.4638446569442749</v>
      </c>
      <c r="I12" s="426">
        <v>0.4638446569442749</v>
      </c>
      <c r="J12" s="426">
        <v>0.4638446569442749</v>
      </c>
      <c r="K12" s="426">
        <v>0.4638446569442749</v>
      </c>
      <c r="L12" s="426">
        <v>0.4638446569442749</v>
      </c>
      <c r="M12" s="426">
        <v>0.4638446569442749</v>
      </c>
      <c r="N12" s="431">
        <f>'Ex ante LI &amp; Eligibility Stats'!N12</f>
        <v>133226</v>
      </c>
      <c r="O12" s="274"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28" t="s">
        <v>21</v>
      </c>
      <c r="B13" s="429">
        <v>0.13</v>
      </c>
      <c r="C13" s="429">
        <v>0.13</v>
      </c>
      <c r="D13" s="426">
        <v>0.13413890000000001</v>
      </c>
      <c r="E13" s="426">
        <v>0.13413890000000001</v>
      </c>
      <c r="F13" s="426">
        <v>0.13413890000000001</v>
      </c>
      <c r="G13" s="426">
        <v>0.13413890000000001</v>
      </c>
      <c r="H13" s="426">
        <v>0.13413890000000001</v>
      </c>
      <c r="I13" s="426">
        <v>0.13413890000000001</v>
      </c>
      <c r="J13" s="426">
        <v>0.13413890000000001</v>
      </c>
      <c r="K13" s="426">
        <v>0.13413890000000001</v>
      </c>
      <c r="L13" s="426">
        <v>0.13413890000000001</v>
      </c>
      <c r="M13" s="426">
        <v>0.13413890000000001</v>
      </c>
      <c r="N13" s="431">
        <f>'Ex ante LI &amp; Eligibility Stats'!N13</f>
        <v>590220</v>
      </c>
      <c r="O13" s="274"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v>
      </c>
    </row>
    <row r="14" spans="1:16" ht="75.75" customHeight="1">
      <c r="A14" s="428" t="s">
        <v>23</v>
      </c>
      <c r="B14" s="429">
        <v>0.05</v>
      </c>
      <c r="C14" s="429">
        <v>0.05</v>
      </c>
      <c r="D14" s="426">
        <v>4.9344300000000001E-2</v>
      </c>
      <c r="E14" s="426">
        <v>4.9344300000000001E-2</v>
      </c>
      <c r="F14" s="426">
        <v>4.9344300000000001E-2</v>
      </c>
      <c r="G14" s="426">
        <v>4.9344300000000001E-2</v>
      </c>
      <c r="H14" s="426">
        <v>4.9344300000000001E-2</v>
      </c>
      <c r="I14" s="426">
        <v>4.9344300000000001E-2</v>
      </c>
      <c r="J14" s="426">
        <v>4.9344300000000001E-2</v>
      </c>
      <c r="K14" s="426">
        <v>4.9344300000000001E-2</v>
      </c>
      <c r="L14" s="426">
        <v>4.9344300000000001E-2</v>
      </c>
      <c r="M14" s="426">
        <v>4.9344300000000001E-2</v>
      </c>
      <c r="N14" s="431">
        <f>'Ex ante LI &amp; Eligibility Stats'!N14</f>
        <v>133226</v>
      </c>
      <c r="O14" s="274"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v>
      </c>
    </row>
    <row r="15" spans="1:16" ht="75.75" customHeight="1">
      <c r="A15" s="544" t="s">
        <v>24</v>
      </c>
      <c r="B15" s="546">
        <v>18</v>
      </c>
      <c r="C15" s="546">
        <v>18</v>
      </c>
      <c r="D15" s="426">
        <v>17.953320000000001</v>
      </c>
      <c r="E15" s="426">
        <v>17.953320000000001</v>
      </c>
      <c r="F15" s="426">
        <v>17.953320000000001</v>
      </c>
      <c r="G15" s="426">
        <v>17.953320000000001</v>
      </c>
      <c r="H15" s="426">
        <v>17.953320000000001</v>
      </c>
      <c r="I15" s="426">
        <v>17.953320000000001</v>
      </c>
      <c r="J15" s="426">
        <v>17.953320000000001</v>
      </c>
      <c r="K15" s="426">
        <v>17.953320000000001</v>
      </c>
      <c r="L15" s="426">
        <v>17.953320000000001</v>
      </c>
      <c r="M15" s="426">
        <v>17.953320000000001</v>
      </c>
      <c r="N15" s="431">
        <f>'Ex ante LI &amp; Eligibility Stats'!N15</f>
        <v>78368</v>
      </c>
      <c r="O15" s="274"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544" t="s">
        <v>25</v>
      </c>
      <c r="B16" s="546">
        <v>13.8</v>
      </c>
      <c r="C16" s="546">
        <v>13.8</v>
      </c>
      <c r="D16" s="426">
        <v>13.800850000000001</v>
      </c>
      <c r="E16" s="426">
        <v>13.800850000000001</v>
      </c>
      <c r="F16" s="426">
        <v>13.800850000000001</v>
      </c>
      <c r="G16" s="426">
        <v>13.800850000000001</v>
      </c>
      <c r="H16" s="426">
        <v>13.800850000000001</v>
      </c>
      <c r="I16" s="426">
        <v>13.800850000000001</v>
      </c>
      <c r="J16" s="426">
        <v>13.800850000000001</v>
      </c>
      <c r="K16" s="426">
        <v>13.800850000000001</v>
      </c>
      <c r="L16" s="426">
        <v>13.800850000000001</v>
      </c>
      <c r="M16" s="426">
        <v>13.800850000000001</v>
      </c>
      <c r="N16" s="431">
        <f>'Ex ante LI &amp; Eligibility Stats'!N16</f>
        <v>78368</v>
      </c>
      <c r="O16" s="274"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28" t="s">
        <v>27</v>
      </c>
      <c r="B17" s="426">
        <v>0.17</v>
      </c>
      <c r="C17" s="426">
        <v>0.17</v>
      </c>
      <c r="D17" s="426">
        <v>0.16711041871077983</v>
      </c>
      <c r="E17" s="426">
        <v>0.16711041871077983</v>
      </c>
      <c r="F17" s="426">
        <v>0.16711041871077983</v>
      </c>
      <c r="G17" s="426">
        <v>0.16711041871077983</v>
      </c>
      <c r="H17" s="426">
        <v>0.16711041871077983</v>
      </c>
      <c r="I17" s="426">
        <v>0.16711041871077983</v>
      </c>
      <c r="J17" s="426">
        <v>0.16711041871077983</v>
      </c>
      <c r="K17" s="426">
        <v>0.16711041871077983</v>
      </c>
      <c r="L17" s="426">
        <v>0.16711041871077983</v>
      </c>
      <c r="M17" s="426">
        <v>0.16711041871077983</v>
      </c>
      <c r="N17" s="431">
        <f>'Ex ante LI &amp; Eligibility Stats'!N17</f>
        <v>1292629</v>
      </c>
      <c r="O17" s="274"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532" t="s">
        <v>26</v>
      </c>
      <c r="B18" s="434">
        <v>0.05</v>
      </c>
      <c r="C18" s="434">
        <v>0.05</v>
      </c>
      <c r="D18" s="533">
        <v>4.9964198690539703E-2</v>
      </c>
      <c r="E18" s="533">
        <v>4.9964198690539703E-2</v>
      </c>
      <c r="F18" s="533">
        <v>4.9964198690539703E-2</v>
      </c>
      <c r="G18" s="533">
        <v>4.9964198690539703E-2</v>
      </c>
      <c r="H18" s="533">
        <v>4.9964198690539703E-2</v>
      </c>
      <c r="I18" s="533">
        <v>4.9964198690539703E-2</v>
      </c>
      <c r="J18" s="533">
        <v>4.9964198690539703E-2</v>
      </c>
      <c r="K18" s="533">
        <v>4.9964198690539703E-2</v>
      </c>
      <c r="L18" s="533">
        <v>4.9964198690539703E-2</v>
      </c>
      <c r="M18" s="533">
        <v>4.9964198690539703E-2</v>
      </c>
      <c r="N18" s="540">
        <f>'Ex ante LI &amp; Eligibility Stats'!N18</f>
        <v>120672</v>
      </c>
      <c r="O18" s="541" t="str">
        <f>'Ex ante LI &amp; Eligibility Stats'!O18</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9" spans="1:26" ht="66.75" customHeight="1">
      <c r="A19" s="425" t="s">
        <v>55</v>
      </c>
      <c r="B19" s="536">
        <v>0</v>
      </c>
      <c r="C19" s="536">
        <v>0</v>
      </c>
      <c r="D19" s="536">
        <v>0.47450989484786987</v>
      </c>
      <c r="E19" s="536">
        <v>0.47450989484786987</v>
      </c>
      <c r="F19" s="536">
        <v>0.47450989484786987</v>
      </c>
      <c r="G19" s="536">
        <v>0.47450989484786987</v>
      </c>
      <c r="H19" s="536">
        <v>0.47450989484786987</v>
      </c>
      <c r="I19" s="536">
        <v>0.47450989484786987</v>
      </c>
      <c r="J19" s="536">
        <v>0.47450989484786987</v>
      </c>
      <c r="K19" s="536">
        <v>0.47450989484786987</v>
      </c>
      <c r="L19" s="536">
        <v>0.47450989484786987</v>
      </c>
      <c r="M19" s="536">
        <v>0.47450989484786987</v>
      </c>
      <c r="N19" s="542">
        <f>'Ex ante LI &amp; Eligibility Stats'!N19</f>
        <v>2822</v>
      </c>
      <c r="O19" s="274"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23.25" customHeight="1">
      <c r="A20" s="449"/>
      <c r="B20" s="450"/>
      <c r="C20" s="450"/>
      <c r="D20" s="450"/>
      <c r="E20" s="450"/>
      <c r="F20" s="450"/>
      <c r="G20" s="450"/>
      <c r="H20" s="450"/>
      <c r="I20" s="450"/>
      <c r="J20" s="450"/>
      <c r="K20" s="450"/>
      <c r="L20" s="450"/>
      <c r="M20" s="450"/>
      <c r="N20" s="451"/>
      <c r="O20" s="421"/>
    </row>
    <row r="21" spans="1:26" ht="14">
      <c r="A21" s="686" t="s">
        <v>81</v>
      </c>
      <c r="B21" s="686"/>
      <c r="C21" s="686"/>
      <c r="D21" s="686"/>
      <c r="E21" s="686"/>
      <c r="F21" s="686"/>
      <c r="G21" s="686"/>
      <c r="H21" s="686"/>
      <c r="I21" s="686"/>
      <c r="J21" s="686"/>
      <c r="K21" s="686"/>
      <c r="L21" s="686"/>
      <c r="M21" s="686"/>
      <c r="N21" s="686"/>
      <c r="O21" s="686"/>
    </row>
    <row r="22" spans="1:26" s="10" customFormat="1" ht="29.25" customHeight="1">
      <c r="A22" s="682" t="s">
        <v>300</v>
      </c>
      <c r="B22" s="693"/>
      <c r="C22" s="693"/>
      <c r="D22" s="693"/>
      <c r="E22" s="693"/>
      <c r="F22" s="693"/>
      <c r="G22" s="693"/>
      <c r="H22" s="693"/>
      <c r="I22" s="693"/>
      <c r="J22" s="693"/>
      <c r="K22" s="693"/>
      <c r="L22" s="693"/>
      <c r="M22" s="595"/>
      <c r="N22" s="595"/>
      <c r="O22" s="595"/>
      <c r="P22" s="13"/>
      <c r="Q22" s="13"/>
      <c r="R22" s="13"/>
      <c r="S22" s="13"/>
      <c r="T22" s="146"/>
      <c r="U22" s="146"/>
      <c r="V22" s="146"/>
      <c r="W22" s="146"/>
      <c r="X22" s="146"/>
      <c r="Y22" s="146"/>
      <c r="Z22" s="146"/>
    </row>
    <row r="23" spans="1:26" ht="12.75" customHeight="1">
      <c r="A23" s="687" t="s">
        <v>82</v>
      </c>
      <c r="B23" s="688"/>
      <c r="C23" s="688"/>
      <c r="D23" s="688"/>
      <c r="E23" s="688"/>
      <c r="F23" s="688"/>
      <c r="G23" s="688"/>
      <c r="H23" s="688"/>
      <c r="I23" s="688"/>
      <c r="J23" s="688"/>
      <c r="K23" s="688"/>
      <c r="L23" s="688"/>
      <c r="M23" s="688"/>
      <c r="N23" s="688"/>
      <c r="O23" s="688"/>
    </row>
    <row r="24" spans="1:26" ht="12.75" customHeight="1">
      <c r="A24" s="691" t="s">
        <v>78</v>
      </c>
      <c r="B24" s="692"/>
      <c r="C24" s="692"/>
      <c r="D24" s="692"/>
      <c r="E24" s="692"/>
      <c r="F24" s="692"/>
      <c r="G24" s="692"/>
      <c r="H24" s="692"/>
      <c r="I24" s="692"/>
      <c r="J24" s="692"/>
      <c r="K24" s="692"/>
      <c r="L24" s="692"/>
      <c r="M24" s="692"/>
      <c r="N24" s="692"/>
    </row>
    <row r="25" spans="1:26" s="10" customFormat="1" ht="27.65" customHeight="1">
      <c r="A25" s="689" t="s">
        <v>255</v>
      </c>
      <c r="B25" s="690"/>
      <c r="C25" s="690"/>
      <c r="D25" s="690"/>
      <c r="E25" s="690"/>
      <c r="F25" s="690"/>
      <c r="G25" s="690"/>
      <c r="H25" s="690"/>
      <c r="I25" s="690"/>
      <c r="J25" s="690"/>
      <c r="K25" s="690"/>
      <c r="L25" s="690"/>
      <c r="M25" s="690"/>
      <c r="N25" s="690"/>
      <c r="O25"/>
      <c r="P25" s="13"/>
      <c r="Q25" s="13"/>
      <c r="R25" s="13"/>
      <c r="S25" s="13"/>
      <c r="T25" s="146"/>
      <c r="U25" s="146"/>
      <c r="V25" s="146"/>
      <c r="W25" s="146"/>
      <c r="X25" s="146"/>
      <c r="Y25" s="146"/>
      <c r="Z25" s="146"/>
    </row>
    <row r="26" spans="1:26" s="10" customFormat="1" ht="14">
      <c r="A26" s="247" t="s">
        <v>64</v>
      </c>
      <c r="B26"/>
      <c r="C26"/>
      <c r="D26"/>
      <c r="E26"/>
      <c r="F26"/>
      <c r="G26"/>
      <c r="H26"/>
      <c r="I26"/>
      <c r="J26"/>
      <c r="K26"/>
      <c r="L26"/>
      <c r="M26"/>
      <c r="N26" s="354"/>
      <c r="O26"/>
      <c r="P26" s="13"/>
      <c r="Q26" s="13"/>
      <c r="R26" s="13"/>
      <c r="S26" s="13"/>
      <c r="T26" s="146"/>
      <c r="U26" s="146"/>
      <c r="V26" s="146"/>
      <c r="W26" s="146"/>
      <c r="X26" s="146"/>
      <c r="Y26" s="146"/>
      <c r="Z26" s="146"/>
    </row>
    <row r="27" spans="1:26" ht="40.5" customHeight="1">
      <c r="N27" s="354"/>
    </row>
    <row r="54" spans="1:1" ht="40.5" customHeight="1">
      <c r="A54" s="204"/>
    </row>
  </sheetData>
  <mergeCells count="6">
    <mergeCell ref="A7:N7"/>
    <mergeCell ref="A21:O21"/>
    <mergeCell ref="A23:O23"/>
    <mergeCell ref="A25:N25"/>
    <mergeCell ref="A24:N24"/>
    <mergeCell ref="A22:L22"/>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6953125" defaultRowHeight="12.5"/>
  <cols>
    <col min="1" max="1" width="45.7265625" style="44" customWidth="1"/>
    <col min="2" max="4" width="10.7265625" style="44" customWidth="1"/>
    <col min="5" max="5" width="12.7265625" style="44" customWidth="1"/>
    <col min="6" max="8" width="10.6328125" style="44" customWidth="1"/>
    <col min="9" max="9" width="12.7265625" style="44" customWidth="1"/>
    <col min="10" max="12" width="10.7265625" style="44" customWidth="1"/>
    <col min="13" max="13" width="12.7265625" style="44" customWidth="1"/>
    <col min="14" max="16" width="10.7265625" style="44" customWidth="1"/>
    <col min="17" max="17" width="12.7265625" style="44" customWidth="1"/>
    <col min="18" max="20" width="10.7265625" style="44" customWidth="1"/>
    <col min="21" max="21" width="12.7265625" style="44" customWidth="1"/>
    <col min="22" max="24" width="10.7265625" style="44" customWidth="1"/>
    <col min="25" max="25" width="12.7265625" style="44" customWidth="1"/>
    <col min="26" max="16384" width="9.26953125" style="44"/>
  </cols>
  <sheetData>
    <row r="1" spans="1:25" ht="13">
      <c r="A1" s="43" t="s">
        <v>83</v>
      </c>
    </row>
    <row r="3" spans="1:25" ht="21.75" customHeight="1">
      <c r="A3" s="94">
        <v>2016</v>
      </c>
      <c r="B3" s="694" t="s">
        <v>41</v>
      </c>
      <c r="C3" s="694"/>
      <c r="D3" s="694"/>
      <c r="E3" s="694"/>
      <c r="F3" s="695" t="s">
        <v>42</v>
      </c>
      <c r="G3" s="695"/>
      <c r="H3" s="695"/>
      <c r="I3" s="695"/>
      <c r="J3" s="695" t="s">
        <v>43</v>
      </c>
      <c r="K3" s="695"/>
      <c r="L3" s="695"/>
      <c r="M3" s="695"/>
      <c r="N3" s="695" t="s">
        <v>44</v>
      </c>
      <c r="O3" s="695"/>
      <c r="P3" s="695"/>
      <c r="Q3" s="695"/>
      <c r="R3" s="695" t="s">
        <v>31</v>
      </c>
      <c r="S3" s="695"/>
      <c r="T3" s="695"/>
      <c r="U3" s="695"/>
      <c r="V3" s="695" t="s">
        <v>45</v>
      </c>
      <c r="W3" s="695"/>
      <c r="X3" s="695"/>
      <c r="Y3" s="695"/>
    </row>
    <row r="4" spans="1:25" ht="79.5" customHeight="1">
      <c r="A4" s="464" t="s">
        <v>84</v>
      </c>
      <c r="B4" s="54" t="s">
        <v>85</v>
      </c>
      <c r="C4" s="54" t="s">
        <v>86</v>
      </c>
      <c r="D4" s="54" t="s">
        <v>87</v>
      </c>
      <c r="E4" s="54" t="s">
        <v>88</v>
      </c>
      <c r="F4" s="54" t="s">
        <v>85</v>
      </c>
      <c r="G4" s="54" t="s">
        <v>86</v>
      </c>
      <c r="H4" s="54" t="s">
        <v>87</v>
      </c>
      <c r="I4" s="54" t="s">
        <v>88</v>
      </c>
      <c r="J4" s="54" t="s">
        <v>85</v>
      </c>
      <c r="K4" s="54" t="s">
        <v>86</v>
      </c>
      <c r="L4" s="54" t="s">
        <v>87</v>
      </c>
      <c r="M4" s="54" t="s">
        <v>88</v>
      </c>
      <c r="N4" s="54" t="s">
        <v>85</v>
      </c>
      <c r="O4" s="54" t="s">
        <v>86</v>
      </c>
      <c r="P4" s="54" t="s">
        <v>87</v>
      </c>
      <c r="Q4" s="54" t="s">
        <v>88</v>
      </c>
      <c r="R4" s="54" t="s">
        <v>85</v>
      </c>
      <c r="S4" s="54" t="s">
        <v>86</v>
      </c>
      <c r="T4" s="54" t="s">
        <v>87</v>
      </c>
      <c r="U4" s="54" t="s">
        <v>88</v>
      </c>
      <c r="V4" s="54" t="s">
        <v>85</v>
      </c>
      <c r="W4" s="54" t="s">
        <v>86</v>
      </c>
      <c r="X4" s="54" t="s">
        <v>87</v>
      </c>
      <c r="Y4" s="54" t="s">
        <v>88</v>
      </c>
    </row>
    <row r="5" spans="1:25" ht="13">
      <c r="A5" s="95" t="s">
        <v>89</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ht="13">
      <c r="A6" s="95" t="s">
        <v>90</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ht="13">
      <c r="A7" s="96" t="s">
        <v>91</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ht="13">
      <c r="A9" s="97" t="s">
        <v>51</v>
      </c>
      <c r="B9" s="65"/>
      <c r="C9" s="54"/>
      <c r="D9" s="54"/>
      <c r="E9" s="465"/>
      <c r="F9" s="65"/>
      <c r="G9" s="66"/>
      <c r="H9" s="67"/>
      <c r="I9" s="67"/>
      <c r="J9" s="68"/>
      <c r="K9" s="66"/>
      <c r="L9" s="67"/>
      <c r="M9" s="60"/>
      <c r="N9" s="68"/>
      <c r="O9" s="66"/>
      <c r="P9" s="67"/>
      <c r="Q9" s="60"/>
      <c r="R9" s="68"/>
      <c r="S9" s="66"/>
      <c r="T9" s="67"/>
      <c r="U9" s="60"/>
      <c r="V9" s="68"/>
      <c r="W9" s="66"/>
      <c r="X9" s="67"/>
      <c r="Y9" s="60">
        <f>SUM(W9:X9)</f>
        <v>0</v>
      </c>
    </row>
    <row r="10" spans="1:25" ht="13">
      <c r="A10" s="95" t="s">
        <v>92</v>
      </c>
      <c r="B10" s="103"/>
      <c r="C10" s="103"/>
      <c r="D10" s="57"/>
      <c r="E10" s="59"/>
      <c r="F10" s="55"/>
      <c r="G10" s="58"/>
      <c r="H10" s="57"/>
      <c r="I10" s="59"/>
      <c r="J10" s="62"/>
      <c r="K10" s="57" t="s">
        <v>56</v>
      </c>
      <c r="L10" s="57"/>
      <c r="M10" s="60"/>
      <c r="N10" s="62"/>
      <c r="O10" s="57" t="s">
        <v>56</v>
      </c>
      <c r="P10" s="57"/>
      <c r="Q10" s="60"/>
      <c r="R10" s="62"/>
      <c r="S10" s="57" t="s">
        <v>56</v>
      </c>
      <c r="T10" s="57"/>
      <c r="U10" s="60"/>
      <c r="V10" s="62"/>
      <c r="W10" s="57" t="s">
        <v>56</v>
      </c>
      <c r="X10" s="57"/>
      <c r="Y10" s="60">
        <f>SUM(W10:X10)</f>
        <v>0</v>
      </c>
    </row>
    <row r="11" spans="1:25" ht="13">
      <c r="A11" s="95" t="s">
        <v>93</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ht="13">
      <c r="A12" s="95"/>
      <c r="B12" s="56"/>
      <c r="C12" s="57"/>
      <c r="D12" s="57"/>
      <c r="E12" s="109"/>
      <c r="F12" s="55"/>
      <c r="G12" s="58"/>
      <c r="H12" s="58"/>
      <c r="I12" s="62"/>
      <c r="J12" s="62"/>
      <c r="K12" s="58"/>
      <c r="L12" s="58"/>
      <c r="M12" s="60" t="s">
        <v>56</v>
      </c>
      <c r="N12" s="62"/>
      <c r="O12" s="58"/>
      <c r="P12" s="58"/>
      <c r="Q12" s="60" t="s">
        <v>56</v>
      </c>
      <c r="R12" s="62"/>
      <c r="S12" s="58"/>
      <c r="T12" s="58"/>
      <c r="U12" s="60" t="s">
        <v>56</v>
      </c>
      <c r="V12" s="62"/>
      <c r="W12" s="58"/>
      <c r="X12" s="58"/>
      <c r="Y12" s="60" t="s">
        <v>56</v>
      </c>
    </row>
    <row r="13" spans="1:25" s="43" customFormat="1" ht="13">
      <c r="A13" s="96" t="s">
        <v>91</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88</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ht="13">
      <c r="A17" s="464" t="s">
        <v>94</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ht="13">
      <c r="A18" s="99" t="s">
        <v>95</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ht="13">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ht="13">
      <c r="A20" s="100" t="s">
        <v>91</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ht="13">
      <c r="A22" s="96" t="s">
        <v>96</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ht="13">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ht="13">
      <c r="A25" s="101"/>
      <c r="B25" s="695" t="s">
        <v>59</v>
      </c>
      <c r="C25" s="695"/>
      <c r="D25" s="695"/>
      <c r="E25" s="695"/>
      <c r="F25" s="695" t="s">
        <v>66</v>
      </c>
      <c r="G25" s="695"/>
      <c r="H25" s="695"/>
      <c r="I25" s="695" t="s">
        <v>59</v>
      </c>
      <c r="J25" s="695" t="s">
        <v>67</v>
      </c>
      <c r="K25" s="695"/>
      <c r="L25" s="695"/>
      <c r="M25" s="695" t="s">
        <v>59</v>
      </c>
      <c r="N25" s="695" t="s">
        <v>61</v>
      </c>
      <c r="O25" s="695"/>
      <c r="P25" s="695"/>
      <c r="Q25" s="695" t="s">
        <v>59</v>
      </c>
      <c r="R25" s="695" t="s">
        <v>68</v>
      </c>
      <c r="S25" s="695"/>
      <c r="T25" s="695"/>
      <c r="U25" s="695" t="s">
        <v>59</v>
      </c>
      <c r="V25" s="695" t="s">
        <v>62</v>
      </c>
      <c r="W25" s="695"/>
      <c r="X25" s="695"/>
      <c r="Y25" s="695" t="s">
        <v>59</v>
      </c>
    </row>
    <row r="26" spans="1:25" ht="39">
      <c r="A26" s="464" t="s">
        <v>84</v>
      </c>
      <c r="B26" s="54" t="s">
        <v>85</v>
      </c>
      <c r="C26" s="54" t="s">
        <v>86</v>
      </c>
      <c r="D26" s="54" t="s">
        <v>87</v>
      </c>
      <c r="E26" s="54" t="s">
        <v>88</v>
      </c>
      <c r="F26" s="54" t="s">
        <v>85</v>
      </c>
      <c r="G26" s="54" t="s">
        <v>86</v>
      </c>
      <c r="H26" s="54" t="s">
        <v>87</v>
      </c>
      <c r="I26" s="54" t="s">
        <v>88</v>
      </c>
      <c r="J26" s="54" t="s">
        <v>85</v>
      </c>
      <c r="K26" s="54" t="s">
        <v>86</v>
      </c>
      <c r="L26" s="54" t="s">
        <v>87</v>
      </c>
      <c r="M26" s="54" t="s">
        <v>88</v>
      </c>
      <c r="N26" s="54" t="s">
        <v>85</v>
      </c>
      <c r="O26" s="54" t="s">
        <v>86</v>
      </c>
      <c r="P26" s="54" t="s">
        <v>87</v>
      </c>
      <c r="Q26" s="54" t="s">
        <v>88</v>
      </c>
      <c r="R26" s="54" t="s">
        <v>85</v>
      </c>
      <c r="S26" s="54" t="s">
        <v>86</v>
      </c>
      <c r="T26" s="54" t="s">
        <v>87</v>
      </c>
      <c r="U26" s="54" t="s">
        <v>88</v>
      </c>
      <c r="V26" s="54" t="s">
        <v>85</v>
      </c>
      <c r="W26" s="54" t="s">
        <v>86</v>
      </c>
      <c r="X26" s="54" t="s">
        <v>87</v>
      </c>
      <c r="Y26" s="54" t="s">
        <v>88</v>
      </c>
    </row>
    <row r="27" spans="1:25" ht="13">
      <c r="A27" s="95" t="s">
        <v>97</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ht="13">
      <c r="A28" s="95" t="s">
        <v>90</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ht="13">
      <c r="A29" s="95" t="s">
        <v>98</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ht="13">
      <c r="A30" s="95" t="s">
        <v>99</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ht="13">
      <c r="A31" s="95" t="s">
        <v>100</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ht="13">
      <c r="A32" s="95" t="s">
        <v>101</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ht="13">
      <c r="A33" s="96" t="s">
        <v>91</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ht="13">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ht="13">
      <c r="A36" s="95" t="s">
        <v>92</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ht="13">
      <c r="A37" s="95" t="s">
        <v>102</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ht="13">
      <c r="A38" s="95" t="s">
        <v>93</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ht="13">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ht="13">
      <c r="A40" s="96" t="s">
        <v>91</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88</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ht="13">
      <c r="A44" s="464" t="s">
        <v>94</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ht="13">
      <c r="A45" s="99" t="s">
        <v>95</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ht="13">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ht="13">
      <c r="A47" s="100" t="s">
        <v>91</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ht="13">
      <c r="A49" s="96" t="s">
        <v>96</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ht="13">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ht="13">
      <c r="A51" s="43" t="s">
        <v>63</v>
      </c>
      <c r="B51" s="43"/>
      <c r="C51" s="45" t="s">
        <v>103</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ht="13">
      <c r="A53" s="43" t="s">
        <v>104</v>
      </c>
      <c r="B53" s="43" t="s">
        <v>105</v>
      </c>
      <c r="D53" s="45"/>
      <c r="G53" s="45"/>
      <c r="I53" s="43"/>
      <c r="K53" s="45"/>
      <c r="M53" s="43"/>
      <c r="O53" s="45"/>
      <c r="P53" s="45"/>
      <c r="S53" s="45"/>
      <c r="T53" s="45"/>
      <c r="W53" s="45"/>
      <c r="X53" s="45"/>
    </row>
    <row r="54" spans="1:25" ht="13">
      <c r="A54" s="43" t="s">
        <v>106</v>
      </c>
      <c r="B54" s="43" t="s">
        <v>107</v>
      </c>
      <c r="D54" s="45"/>
      <c r="G54" s="45"/>
      <c r="I54" s="43"/>
      <c r="K54" s="45"/>
      <c r="M54" s="43"/>
      <c r="O54" s="45"/>
      <c r="P54" s="45"/>
      <c r="S54" s="45"/>
      <c r="T54" s="45"/>
    </row>
    <row r="55" spans="1:25" ht="13">
      <c r="A55" s="43" t="s">
        <v>108</v>
      </c>
      <c r="B55" s="43" t="s">
        <v>109</v>
      </c>
      <c r="D55" s="45"/>
      <c r="G55" s="45"/>
      <c r="I55" s="43"/>
      <c r="K55" s="45"/>
      <c r="M55" s="43"/>
      <c r="U55" s="52"/>
      <c r="V55" s="52"/>
      <c r="Y55" s="52"/>
    </row>
    <row r="56" spans="1:25" ht="13">
      <c r="A56" s="43" t="s">
        <v>110</v>
      </c>
      <c r="B56" s="43" t="s">
        <v>111</v>
      </c>
      <c r="D56" s="45"/>
      <c r="F56" s="52"/>
      <c r="I56" s="52"/>
      <c r="J56" s="52"/>
      <c r="M56" s="52"/>
      <c r="N56" s="52"/>
      <c r="Q56" s="52"/>
      <c r="R56" s="52"/>
      <c r="W56" s="45"/>
      <c r="X56" s="45"/>
    </row>
    <row r="57" spans="1:25" ht="13">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8"/>
  <sheetViews>
    <sheetView showRuler="0" showWhiteSpace="0" topLeftCell="A8" zoomScale="80" zoomScaleNormal="80" workbookViewId="0">
      <selection activeCell="E40" sqref="E40"/>
    </sheetView>
  </sheetViews>
  <sheetFormatPr defaultColWidth="9.26953125" defaultRowHeight="12.5"/>
  <cols>
    <col min="1" max="1" width="48" style="44" customWidth="1"/>
    <col min="2" max="3" width="13" style="44" customWidth="1"/>
    <col min="4" max="13" width="13.36328125" style="44" customWidth="1"/>
    <col min="14" max="14" width="23.26953125" style="44" bestFit="1" customWidth="1"/>
    <col min="15" max="16384" width="9.26953125" style="44"/>
  </cols>
  <sheetData>
    <row r="2" spans="1:13" ht="20">
      <c r="B2" s="334" t="s">
        <v>39</v>
      </c>
      <c r="C2" s="43"/>
      <c r="D2" s="43"/>
      <c r="E2" s="335"/>
      <c r="F2" s="335"/>
      <c r="G2" s="335"/>
      <c r="H2" s="335"/>
      <c r="I2" s="335"/>
      <c r="J2" s="335"/>
      <c r="K2" s="335"/>
      <c r="L2" s="335"/>
      <c r="M2" s="335"/>
    </row>
    <row r="3" spans="1:13" ht="18">
      <c r="B3" s="696" t="s">
        <v>112</v>
      </c>
      <c r="C3" s="696"/>
      <c r="D3" s="696"/>
      <c r="E3" s="696"/>
      <c r="F3" s="696"/>
      <c r="G3" s="696"/>
      <c r="H3" s="696"/>
      <c r="I3" s="696"/>
      <c r="J3" s="696"/>
      <c r="K3" s="696"/>
      <c r="L3" s="696"/>
      <c r="M3" s="696"/>
    </row>
    <row r="4" spans="1:13" ht="18">
      <c r="A4" s="163"/>
      <c r="B4" s="43"/>
      <c r="C4" s="43"/>
      <c r="D4" s="43"/>
      <c r="E4" s="43"/>
      <c r="F4" s="336"/>
      <c r="G4" s="697" t="str">
        <f>'Program MW '!H3</f>
        <v>April 2021</v>
      </c>
      <c r="H4" s="697"/>
      <c r="I4" s="336"/>
      <c r="J4" s="43"/>
      <c r="K4" s="43"/>
      <c r="L4" s="43"/>
      <c r="M4" s="43"/>
    </row>
    <row r="5" spans="1:13">
      <c r="B5" s="199"/>
      <c r="C5" s="199"/>
      <c r="D5" s="199"/>
    </row>
    <row r="7" spans="1:13" ht="21.75" customHeight="1">
      <c r="A7" s="94"/>
      <c r="B7" s="164" t="s">
        <v>10</v>
      </c>
      <c r="C7" s="164" t="s">
        <v>28</v>
      </c>
      <c r="D7" s="164" t="s">
        <v>43</v>
      </c>
      <c r="E7" s="164" t="s">
        <v>44</v>
      </c>
      <c r="F7" s="164" t="s">
        <v>113</v>
      </c>
      <c r="G7" s="164" t="s">
        <v>45</v>
      </c>
      <c r="H7" s="164" t="s">
        <v>59</v>
      </c>
      <c r="I7" s="164" t="s">
        <v>66</v>
      </c>
      <c r="J7" s="164" t="s">
        <v>67</v>
      </c>
      <c r="K7" s="164" t="s">
        <v>61</v>
      </c>
      <c r="L7" s="164" t="s">
        <v>68</v>
      </c>
      <c r="M7" s="165" t="s">
        <v>62</v>
      </c>
    </row>
    <row r="8" spans="1:13" ht="26">
      <c r="A8" s="276" t="s">
        <v>114</v>
      </c>
      <c r="B8" s="295" t="s">
        <v>86</v>
      </c>
      <c r="C8" s="128" t="s">
        <v>86</v>
      </c>
      <c r="D8" s="128" t="s">
        <v>86</v>
      </c>
      <c r="E8" s="128" t="s">
        <v>86</v>
      </c>
      <c r="F8" s="128" t="s">
        <v>86</v>
      </c>
      <c r="G8" s="128" t="s">
        <v>86</v>
      </c>
      <c r="H8" s="128" t="s">
        <v>86</v>
      </c>
      <c r="I8" s="128" t="s">
        <v>86</v>
      </c>
      <c r="J8" s="128" t="s">
        <v>86</v>
      </c>
      <c r="K8" s="128" t="s">
        <v>86</v>
      </c>
      <c r="L8" s="128" t="s">
        <v>115</v>
      </c>
      <c r="M8" s="128" t="s">
        <v>115</v>
      </c>
    </row>
    <row r="9" spans="1:13">
      <c r="A9" s="294" t="s">
        <v>89</v>
      </c>
      <c r="B9" s="296">
        <v>1.23E-2</v>
      </c>
      <c r="C9" s="296">
        <v>1.23E-2</v>
      </c>
      <c r="D9" s="296">
        <v>9.0899999999999995E-2</v>
      </c>
      <c r="E9" s="296">
        <v>9.0899999999999995E-2</v>
      </c>
      <c r="F9" s="296">
        <v>0</v>
      </c>
      <c r="G9" s="296">
        <v>0</v>
      </c>
      <c r="H9" s="296">
        <v>0</v>
      </c>
      <c r="I9" s="296">
        <v>0</v>
      </c>
      <c r="J9" s="296">
        <v>0</v>
      </c>
      <c r="K9" s="296">
        <v>0</v>
      </c>
      <c r="L9" s="296">
        <v>0</v>
      </c>
      <c r="M9" s="296">
        <v>0</v>
      </c>
    </row>
    <row r="10" spans="1:13">
      <c r="A10" s="294" t="s">
        <v>90</v>
      </c>
      <c r="B10" s="296">
        <v>0</v>
      </c>
      <c r="C10" s="296">
        <v>0</v>
      </c>
      <c r="D10" s="296">
        <v>0</v>
      </c>
      <c r="E10" s="296">
        <v>0</v>
      </c>
      <c r="F10" s="296">
        <v>0</v>
      </c>
      <c r="G10" s="296">
        <v>0</v>
      </c>
      <c r="H10" s="296">
        <v>0</v>
      </c>
      <c r="I10" s="296">
        <v>0</v>
      </c>
      <c r="J10" s="296">
        <v>0</v>
      </c>
      <c r="K10" s="296">
        <v>0</v>
      </c>
      <c r="L10" s="296">
        <v>0</v>
      </c>
      <c r="M10" s="296">
        <v>0</v>
      </c>
    </row>
    <row r="11" spans="1:13">
      <c r="A11" s="167" t="s">
        <v>116</v>
      </c>
      <c r="B11" s="296">
        <v>0</v>
      </c>
      <c r="C11" s="296">
        <v>0</v>
      </c>
      <c r="D11" s="296">
        <v>0</v>
      </c>
      <c r="E11" s="296">
        <v>0</v>
      </c>
      <c r="F11" s="296">
        <v>0</v>
      </c>
      <c r="G11" s="296">
        <v>0</v>
      </c>
      <c r="H11" s="296">
        <v>0</v>
      </c>
      <c r="I11" s="296">
        <v>0</v>
      </c>
      <c r="J11" s="296">
        <v>0</v>
      </c>
      <c r="K11" s="296">
        <v>0</v>
      </c>
      <c r="L11" s="296">
        <v>0</v>
      </c>
      <c r="M11" s="296">
        <v>0</v>
      </c>
    </row>
    <row r="12" spans="1:13">
      <c r="A12" s="167" t="s">
        <v>117</v>
      </c>
      <c r="B12" s="296">
        <v>0</v>
      </c>
      <c r="C12" s="296">
        <v>0</v>
      </c>
      <c r="D12" s="296">
        <v>0</v>
      </c>
      <c r="E12" s="296">
        <v>0</v>
      </c>
      <c r="F12" s="296">
        <v>0</v>
      </c>
      <c r="G12" s="296">
        <v>0</v>
      </c>
      <c r="H12" s="296">
        <v>0</v>
      </c>
      <c r="I12" s="296">
        <v>0</v>
      </c>
      <c r="J12" s="296">
        <v>0</v>
      </c>
      <c r="K12" s="296">
        <v>0</v>
      </c>
      <c r="L12" s="296">
        <v>0</v>
      </c>
      <c r="M12" s="296">
        <v>0</v>
      </c>
    </row>
    <row r="13" spans="1:13" s="43" customFormat="1" ht="13">
      <c r="A13" s="166" t="s">
        <v>91</v>
      </c>
      <c r="B13" s="106">
        <f t="shared" ref="B13:G13" si="0">SUM(B9:B12)</f>
        <v>1.23E-2</v>
      </c>
      <c r="C13" s="106">
        <f t="shared" si="0"/>
        <v>1.23E-2</v>
      </c>
      <c r="D13" s="106">
        <f t="shared" si="0"/>
        <v>9.0899999999999995E-2</v>
      </c>
      <c r="E13" s="106">
        <f t="shared" si="0"/>
        <v>9.0899999999999995E-2</v>
      </c>
      <c r="F13" s="106">
        <f t="shared" si="0"/>
        <v>0</v>
      </c>
      <c r="G13" s="106">
        <f t="shared" si="0"/>
        <v>0</v>
      </c>
      <c r="H13" s="60">
        <f t="shared" ref="H13" si="1">SUM(H9:H12)</f>
        <v>0</v>
      </c>
      <c r="I13" s="60">
        <f t="shared" ref="I13:M13" si="2">SUM(I9:I12)</f>
        <v>0</v>
      </c>
      <c r="J13" s="60">
        <f t="shared" si="2"/>
        <v>0</v>
      </c>
      <c r="K13" s="60">
        <f>SUM(K9:K12)</f>
        <v>0</v>
      </c>
      <c r="L13" s="60">
        <f>SUM(L9:L12)</f>
        <v>0</v>
      </c>
      <c r="M13" s="60">
        <f t="shared" si="2"/>
        <v>0</v>
      </c>
    </row>
    <row r="14" spans="1:13" s="51" customFormat="1" ht="13">
      <c r="A14" s="43"/>
      <c r="B14" s="47"/>
      <c r="C14" s="49"/>
      <c r="D14" s="49"/>
      <c r="E14" s="49"/>
      <c r="F14" s="49"/>
      <c r="G14" s="49"/>
    </row>
    <row r="15" spans="1:13" ht="14">
      <c r="A15" s="248" t="s">
        <v>63</v>
      </c>
      <c r="G15" s="45"/>
    </row>
    <row r="16" spans="1:13" ht="15.5">
      <c r="A16" s="370" t="s">
        <v>118</v>
      </c>
      <c r="B16" s="199"/>
      <c r="C16" s="199"/>
      <c r="D16" s="286"/>
      <c r="E16" s="286"/>
      <c r="F16" s="286"/>
      <c r="G16" s="199"/>
      <c r="H16" s="199"/>
      <c r="I16" s="199"/>
      <c r="J16" s="199"/>
      <c r="K16" s="199"/>
    </row>
    <row r="17" spans="1:14" ht="15.5">
      <c r="A17" s="369"/>
    </row>
    <row r="20" spans="1:14" ht="21.75" customHeight="1">
      <c r="A20" s="94"/>
      <c r="B20" s="164" t="s">
        <v>10</v>
      </c>
      <c r="C20" s="164" t="s">
        <v>28</v>
      </c>
      <c r="D20" s="164" t="s">
        <v>43</v>
      </c>
      <c r="E20" s="164" t="s">
        <v>44</v>
      </c>
      <c r="F20" s="164" t="s">
        <v>113</v>
      </c>
      <c r="G20" s="164" t="s">
        <v>45</v>
      </c>
      <c r="H20" s="164" t="s">
        <v>59</v>
      </c>
      <c r="I20" s="164" t="s">
        <v>66</v>
      </c>
      <c r="J20" s="164" t="s">
        <v>67</v>
      </c>
      <c r="K20" s="164" t="s">
        <v>61</v>
      </c>
      <c r="L20" s="164" t="s">
        <v>68</v>
      </c>
      <c r="M20" s="165" t="s">
        <v>62</v>
      </c>
      <c r="N20" s="338"/>
    </row>
    <row r="21" spans="1:14" ht="52">
      <c r="A21" s="275" t="s">
        <v>114</v>
      </c>
      <c r="B21" s="128" t="s">
        <v>119</v>
      </c>
      <c r="C21" s="128" t="str">
        <f>B21</f>
        <v>Technology Deployment- Residential MWs</v>
      </c>
      <c r="D21" s="128" t="str">
        <f>B21</f>
        <v>Technology Deployment- Residential MWs</v>
      </c>
      <c r="E21" s="128" t="str">
        <f t="shared" ref="E21:M21" si="3">C21</f>
        <v>Technology Deployment- Residential MWs</v>
      </c>
      <c r="F21" s="128" t="str">
        <f t="shared" si="3"/>
        <v>Technology Deployment- Residential MWs</v>
      </c>
      <c r="G21" s="128" t="str">
        <f t="shared" si="3"/>
        <v>Technology Deployment- Residential MWs</v>
      </c>
      <c r="H21" s="128" t="str">
        <f t="shared" si="3"/>
        <v>Technology Deployment- Residential MWs</v>
      </c>
      <c r="I21" s="128" t="str">
        <f t="shared" si="3"/>
        <v>Technology Deployment- Residential MWs</v>
      </c>
      <c r="J21" s="128" t="str">
        <f t="shared" si="3"/>
        <v>Technology Deployment- Residential MWs</v>
      </c>
      <c r="K21" s="128" t="str">
        <f t="shared" si="3"/>
        <v>Technology Deployment- Residential MWs</v>
      </c>
      <c r="L21" s="128" t="str">
        <f t="shared" si="3"/>
        <v>Technology Deployment- Residential MWs</v>
      </c>
      <c r="M21" s="128" t="str">
        <f t="shared" si="3"/>
        <v>Technology Deployment- Residential MWs</v>
      </c>
      <c r="N21" s="338"/>
    </row>
    <row r="22" spans="1:14">
      <c r="A22" s="167" t="s">
        <v>17</v>
      </c>
      <c r="B22" s="57">
        <f>'Program MW '!D14</f>
        <v>5.5603200000000008</v>
      </c>
      <c r="C22" s="57">
        <f>'Program MW '!G14</f>
        <v>5.5289600000000005</v>
      </c>
      <c r="D22" s="57">
        <f>'Program MW '!J14</f>
        <v>5.1198614791035659</v>
      </c>
      <c r="E22" s="57">
        <f>'Program MW '!M14</f>
        <v>5.1898279145658019</v>
      </c>
      <c r="F22" s="57">
        <v>0</v>
      </c>
      <c r="G22" s="57">
        <v>0</v>
      </c>
      <c r="H22" s="57">
        <v>0</v>
      </c>
      <c r="I22" s="57">
        <v>0</v>
      </c>
      <c r="J22" s="57">
        <v>0</v>
      </c>
      <c r="K22" s="57">
        <v>0</v>
      </c>
      <c r="L22" s="57">
        <v>0</v>
      </c>
      <c r="M22" s="57">
        <v>0</v>
      </c>
      <c r="N22" s="338"/>
    </row>
    <row r="23" spans="1:14">
      <c r="A23" s="167" t="s">
        <v>27</v>
      </c>
      <c r="B23" s="57">
        <f>'Ex post LI &amp; Eligibility Stats'!B11*1203/1000</f>
        <v>0.38496000000000002</v>
      </c>
      <c r="C23" s="57">
        <f>'Ex post LI &amp; Eligibility Stats'!C11*1269/1000</f>
        <v>0.40608</v>
      </c>
      <c r="D23" s="57">
        <f>'Ex post LI &amp; Eligibility Stats'!D11*1142/1000</f>
        <v>0.34292561930418014</v>
      </c>
      <c r="E23" s="57">
        <f>'Ex post LI &amp; Eligibility Stats'!E11*1150/1000</f>
        <v>0.34532790035009386</v>
      </c>
      <c r="F23" s="57">
        <v>0</v>
      </c>
      <c r="G23" s="57">
        <v>0</v>
      </c>
      <c r="H23" s="57">
        <v>0</v>
      </c>
      <c r="I23" s="57">
        <v>0</v>
      </c>
      <c r="J23" s="57">
        <v>0</v>
      </c>
      <c r="K23" s="57">
        <v>0</v>
      </c>
      <c r="L23" s="57">
        <v>0</v>
      </c>
      <c r="M23" s="57">
        <v>0</v>
      </c>
    </row>
    <row r="24" spans="1:14">
      <c r="A24" s="167" t="s">
        <v>117</v>
      </c>
      <c r="B24" s="57">
        <f>'Ex post LI &amp; Eligibility Stats'!B11*1929/1000</f>
        <v>0.61727999999999994</v>
      </c>
      <c r="C24" s="57">
        <f>'Ex post LI &amp; Eligibility Stats'!C11*1911/1000</f>
        <v>0.61151999999999995</v>
      </c>
      <c r="D24" s="57">
        <f>'Ex post LI &amp; Eligibility Stats'!D11*1490/1000</f>
        <v>0.44742484480142591</v>
      </c>
      <c r="E24" s="57">
        <f>'Ex post LI &amp; Eligibility Stats'!E11*1490/1000</f>
        <v>0.44742484480142591</v>
      </c>
      <c r="F24" s="57">
        <v>0</v>
      </c>
      <c r="G24" s="57">
        <v>0</v>
      </c>
      <c r="H24" s="57">
        <v>0</v>
      </c>
      <c r="I24" s="57">
        <v>0</v>
      </c>
      <c r="J24" s="57">
        <v>0</v>
      </c>
      <c r="K24" s="57">
        <v>0</v>
      </c>
      <c r="L24" s="57">
        <v>0</v>
      </c>
      <c r="M24" s="57">
        <v>0</v>
      </c>
    </row>
    <row r="25" spans="1:14" s="43" customFormat="1" ht="13">
      <c r="A25" s="166" t="s">
        <v>91</v>
      </c>
      <c r="B25" s="106">
        <f t="shared" ref="B25:H25" si="4">SUM(B22:B24)</f>
        <v>6.5625600000000013</v>
      </c>
      <c r="C25" s="60">
        <f t="shared" si="4"/>
        <v>6.5465600000000004</v>
      </c>
      <c r="D25" s="60">
        <f t="shared" si="4"/>
        <v>5.9102119432091724</v>
      </c>
      <c r="E25" s="60">
        <f t="shared" ref="E25" si="5">SUM(E22:E24)</f>
        <v>5.9825806597173221</v>
      </c>
      <c r="F25" s="60">
        <f t="shared" ref="F25" si="6">SUM(F22:F24)</f>
        <v>0</v>
      </c>
      <c r="G25" s="60">
        <f t="shared" si="4"/>
        <v>0</v>
      </c>
      <c r="H25" s="60">
        <f t="shared" si="4"/>
        <v>0</v>
      </c>
      <c r="I25" s="60">
        <f t="shared" ref="I25:J25" si="7">SUM(I22:I24)</f>
        <v>0</v>
      </c>
      <c r="J25" s="60">
        <f t="shared" si="7"/>
        <v>0</v>
      </c>
      <c r="K25" s="60">
        <f>SUM(K22:K24)</f>
        <v>0</v>
      </c>
      <c r="L25" s="60">
        <f>SUM(L22:L24)</f>
        <v>0</v>
      </c>
      <c r="M25" s="60">
        <f t="shared" ref="M25" si="8">SUM(M22:M24)</f>
        <v>0</v>
      </c>
    </row>
    <row r="26" spans="1:14" s="51" customFormat="1" ht="13">
      <c r="A26" s="43"/>
      <c r="B26" s="47"/>
      <c r="C26" s="49"/>
      <c r="D26" s="49"/>
      <c r="E26" s="49"/>
      <c r="F26" s="49"/>
      <c r="G26" s="49"/>
    </row>
    <row r="27" spans="1:14" ht="14">
      <c r="A27" s="248" t="s">
        <v>63</v>
      </c>
      <c r="G27" s="45"/>
    </row>
    <row r="28" spans="1:14" ht="15.5">
      <c r="A28" s="368" t="s">
        <v>120</v>
      </c>
      <c r="G28" s="45"/>
    </row>
    <row r="29" spans="1:14" ht="15.5">
      <c r="A29" s="369"/>
      <c r="C29" s="45"/>
      <c r="D29" s="45"/>
      <c r="E29" s="45"/>
      <c r="F29" s="45"/>
      <c r="G29" s="45"/>
    </row>
    <row r="30" spans="1:14">
      <c r="C30" s="45"/>
      <c r="D30" s="45"/>
      <c r="E30" s="45"/>
      <c r="F30" s="45"/>
      <c r="G30" s="45"/>
    </row>
    <row r="31" spans="1:14" ht="21.75" customHeight="1">
      <c r="A31" s="94"/>
      <c r="B31" s="164" t="s">
        <v>10</v>
      </c>
      <c r="C31" s="164" t="s">
        <v>28</v>
      </c>
      <c r="D31" s="164" t="s">
        <v>43</v>
      </c>
      <c r="E31" s="164" t="s">
        <v>44</v>
      </c>
      <c r="F31" s="164" t="s">
        <v>113</v>
      </c>
      <c r="G31" s="164" t="s">
        <v>45</v>
      </c>
      <c r="H31" s="164" t="s">
        <v>59</v>
      </c>
      <c r="I31" s="164" t="s">
        <v>66</v>
      </c>
      <c r="J31" s="164" t="s">
        <v>67</v>
      </c>
      <c r="K31" s="164" t="s">
        <v>61</v>
      </c>
      <c r="L31" s="164" t="s">
        <v>68</v>
      </c>
      <c r="M31" s="165" t="s">
        <v>62</v>
      </c>
    </row>
    <row r="32" spans="1:14" ht="52">
      <c r="A32" s="275" t="s">
        <v>114</v>
      </c>
      <c r="B32" s="128" t="s">
        <v>121</v>
      </c>
      <c r="C32" s="128" t="str">
        <f>B32</f>
        <v>Technology Deployment- Commercial MWs</v>
      </c>
      <c r="D32" s="128" t="str">
        <f>B32</f>
        <v>Technology Deployment- Commercial MWs</v>
      </c>
      <c r="E32" s="128" t="str">
        <f t="shared" ref="E32" si="9">C32</f>
        <v>Technology Deployment- Commercial MWs</v>
      </c>
      <c r="F32" s="128" t="str">
        <f t="shared" ref="F32" si="10">D32</f>
        <v>Technology Deployment- Commercial MWs</v>
      </c>
      <c r="G32" s="128" t="str">
        <f t="shared" ref="G32" si="11">E32</f>
        <v>Technology Deployment- Commercial MWs</v>
      </c>
      <c r="H32" s="128" t="str">
        <f t="shared" ref="H32" si="12">F32</f>
        <v>Technology Deployment- Commercial MWs</v>
      </c>
      <c r="I32" s="128" t="s">
        <v>122</v>
      </c>
      <c r="J32" s="128" t="str">
        <f t="shared" ref="J32" si="13">H32</f>
        <v>Technology Deployment- Commercial MWs</v>
      </c>
      <c r="K32" s="128" t="str">
        <f>B32</f>
        <v>Technology Deployment- Commercial MWs</v>
      </c>
      <c r="L32" s="128" t="s">
        <v>122</v>
      </c>
      <c r="M32" s="128" t="str">
        <f t="shared" ref="M32" si="14">K32</f>
        <v>Technology Deployment- Commercial MWs</v>
      </c>
    </row>
    <row r="33" spans="1:13">
      <c r="A33" s="167" t="s">
        <v>20</v>
      </c>
      <c r="B33" s="57">
        <f>'Program MW '!D15</f>
        <v>0.32384000000000002</v>
      </c>
      <c r="C33" s="57">
        <f>'Program MW '!G15</f>
        <v>0.32384000000000002</v>
      </c>
      <c r="D33" s="57">
        <f>'Program MW '!J15</f>
        <v>0.12431036806106567</v>
      </c>
      <c r="E33" s="57">
        <f>'Program MW '!M15</f>
        <v>0.12431036806106567</v>
      </c>
      <c r="F33" s="57">
        <v>0</v>
      </c>
      <c r="G33" s="57">
        <v>0</v>
      </c>
      <c r="H33" s="57">
        <v>0</v>
      </c>
      <c r="I33" s="57">
        <v>0</v>
      </c>
      <c r="J33" s="57">
        <v>0</v>
      </c>
      <c r="K33" s="57">
        <v>0</v>
      </c>
      <c r="L33" s="57">
        <v>0</v>
      </c>
      <c r="M33" s="57">
        <v>0</v>
      </c>
    </row>
    <row r="34" spans="1:13">
      <c r="A34" s="167" t="s">
        <v>26</v>
      </c>
      <c r="B34" s="57">
        <f>'Ex post LI &amp; Eligibility Stats'!B12*741/1000</f>
        <v>0.34086</v>
      </c>
      <c r="C34" s="57">
        <f>'Ex post LI &amp; Eligibility Stats'!C12*738/1000</f>
        <v>0.33948</v>
      </c>
      <c r="D34" s="57">
        <f>'Ex post LI &amp; Eligibility Stats'!D12*483/1000</f>
        <v>0.22403696930408479</v>
      </c>
      <c r="E34" s="57">
        <f>'Ex post LI &amp; Eligibility Stats'!E12*483/1000</f>
        <v>0.22403696930408479</v>
      </c>
      <c r="F34" s="57">
        <v>0</v>
      </c>
      <c r="G34" s="57">
        <v>0</v>
      </c>
      <c r="H34" s="57">
        <v>0</v>
      </c>
      <c r="I34" s="57">
        <v>0</v>
      </c>
      <c r="J34" s="57">
        <v>0</v>
      </c>
      <c r="K34" s="57">
        <v>0</v>
      </c>
      <c r="L34" s="57">
        <v>0</v>
      </c>
      <c r="M34" s="57">
        <v>0</v>
      </c>
    </row>
    <row r="35" spans="1:13">
      <c r="A35" s="436" t="s">
        <v>55</v>
      </c>
      <c r="B35" s="415">
        <v>0</v>
      </c>
      <c r="C35" s="415">
        <v>0</v>
      </c>
      <c r="D35" s="415">
        <v>0</v>
      </c>
      <c r="E35" s="415">
        <v>0</v>
      </c>
      <c r="F35" s="57">
        <v>0</v>
      </c>
      <c r="G35" s="57">
        <v>0</v>
      </c>
      <c r="H35" s="57">
        <v>0</v>
      </c>
      <c r="I35" s="57">
        <v>0</v>
      </c>
      <c r="J35" s="57">
        <v>0</v>
      </c>
      <c r="K35" s="57">
        <v>0</v>
      </c>
      <c r="L35" s="57">
        <v>0</v>
      </c>
      <c r="M35" s="57">
        <v>0</v>
      </c>
    </row>
    <row r="36" spans="1:13">
      <c r="A36" s="167" t="s">
        <v>89</v>
      </c>
      <c r="B36" s="57">
        <f>'Ex post LI &amp; Eligibility Stats'!B12*364/1000</f>
        <v>0.16744000000000001</v>
      </c>
      <c r="C36" s="57">
        <f>'Ex post LI &amp; Eligibility Stats'!C12*360/1000</f>
        <v>0.1656</v>
      </c>
      <c r="D36" s="57">
        <f>'Ex post LI &amp; Eligibility Stats'!D12*297/1000</f>
        <v>0.13776186311244965</v>
      </c>
      <c r="E36" s="57">
        <f>'Ex post LI &amp; Eligibility Stats'!E12*294/1000</f>
        <v>0.13637032914161681</v>
      </c>
      <c r="F36" s="57">
        <v>0</v>
      </c>
      <c r="G36" s="57">
        <v>0</v>
      </c>
      <c r="H36" s="57">
        <v>0</v>
      </c>
      <c r="I36" s="57">
        <v>0</v>
      </c>
      <c r="J36" s="57">
        <v>0</v>
      </c>
      <c r="K36" s="57">
        <v>0</v>
      </c>
      <c r="L36" s="57">
        <v>0</v>
      </c>
      <c r="M36" s="57">
        <v>0</v>
      </c>
    </row>
    <row r="37" spans="1:13">
      <c r="A37" s="167" t="s">
        <v>90</v>
      </c>
      <c r="B37" s="57">
        <v>0</v>
      </c>
      <c r="C37" s="57">
        <v>0</v>
      </c>
      <c r="D37" s="57">
        <f>'Program MW '!F18</f>
        <v>0</v>
      </c>
      <c r="E37" s="57">
        <f>'Program MW '!G18</f>
        <v>0</v>
      </c>
      <c r="F37" s="57">
        <v>0</v>
      </c>
      <c r="G37" s="57">
        <v>0</v>
      </c>
      <c r="H37" s="57">
        <v>0</v>
      </c>
      <c r="I37" s="57">
        <v>0</v>
      </c>
      <c r="J37" s="57">
        <v>0</v>
      </c>
      <c r="K37" s="57">
        <v>0</v>
      </c>
      <c r="L37" s="57">
        <v>0</v>
      </c>
      <c r="M37" s="57">
        <v>0</v>
      </c>
    </row>
    <row r="38" spans="1:13">
      <c r="A38" s="167" t="s">
        <v>116</v>
      </c>
      <c r="B38" s="57">
        <f>'Ex post LI &amp; Eligibility Stats'!B14*570/1000</f>
        <v>2.8500000000000001E-2</v>
      </c>
      <c r="C38" s="57">
        <f>'Ex post LI &amp; Eligibility Stats'!C14*570/1000</f>
        <v>2.8500000000000001E-2</v>
      </c>
      <c r="D38" s="57">
        <f>'Program MW '!F19</f>
        <v>0</v>
      </c>
      <c r="E38" s="57">
        <f>'Program MW '!G19</f>
        <v>0</v>
      </c>
      <c r="F38" s="57">
        <v>0</v>
      </c>
      <c r="G38" s="57">
        <v>0</v>
      </c>
      <c r="H38" s="57">
        <v>0</v>
      </c>
      <c r="I38" s="57">
        <v>0</v>
      </c>
      <c r="J38" s="57">
        <v>0</v>
      </c>
      <c r="K38" s="57">
        <v>0</v>
      </c>
      <c r="L38" s="57">
        <v>0</v>
      </c>
      <c r="M38" s="57">
        <v>0</v>
      </c>
    </row>
    <row r="39" spans="1:13">
      <c r="A39" s="167" t="s">
        <v>117</v>
      </c>
      <c r="B39" s="57">
        <f>'Ex post LI &amp; Eligibility Stats'!B15*2/1000</f>
        <v>3.5999999999999997E-2</v>
      </c>
      <c r="C39" s="57">
        <f>'Ex post LI &amp; Eligibility Stats'!C15*2/1000</f>
        <v>3.5999999999999997E-2</v>
      </c>
      <c r="D39" s="57">
        <f>'Ex post LI &amp; Eligibility Stats'!D15*1/1000</f>
        <v>1.7953320000000002E-2</v>
      </c>
      <c r="E39" s="57">
        <f>'Ex post LI &amp; Eligibility Stats'!E15*1/1000</f>
        <v>1.7953320000000002E-2</v>
      </c>
      <c r="F39" s="57">
        <v>0</v>
      </c>
      <c r="G39" s="57">
        <v>0</v>
      </c>
      <c r="H39" s="57">
        <v>0</v>
      </c>
      <c r="I39" s="57">
        <v>0</v>
      </c>
      <c r="J39" s="57">
        <v>0</v>
      </c>
      <c r="K39" s="57">
        <v>0</v>
      </c>
      <c r="L39" s="57">
        <v>0</v>
      </c>
      <c r="M39" s="57">
        <v>0</v>
      </c>
    </row>
    <row r="40" spans="1:13" s="43" customFormat="1" ht="13">
      <c r="A40" s="166" t="s">
        <v>91</v>
      </c>
      <c r="B40" s="106">
        <f t="shared" ref="B40:C40" si="15">SUM(B33:B39)</f>
        <v>0.8966400000000001</v>
      </c>
      <c r="C40" s="106">
        <f t="shared" si="15"/>
        <v>0.89341999999999999</v>
      </c>
      <c r="D40" s="106">
        <f t="shared" ref="D40:M40" si="16">SUM(D33:D39)</f>
        <v>0.50406252047760014</v>
      </c>
      <c r="E40" s="106">
        <f t="shared" ref="E40" si="17">SUM(E33:E39)</f>
        <v>0.50267098650676734</v>
      </c>
      <c r="F40" s="106">
        <f t="shared" ref="F40" si="18">SUM(F33:F39)</f>
        <v>0</v>
      </c>
      <c r="G40" s="106">
        <f t="shared" si="16"/>
        <v>0</v>
      </c>
      <c r="H40" s="106">
        <f t="shared" si="16"/>
        <v>0</v>
      </c>
      <c r="I40" s="106">
        <f t="shared" si="16"/>
        <v>0</v>
      </c>
      <c r="J40" s="106">
        <f t="shared" ref="J40" si="19">SUM(J33:J39)</f>
        <v>0</v>
      </c>
      <c r="K40" s="106">
        <f>SUM(K33:K39)</f>
        <v>0</v>
      </c>
      <c r="L40" s="106">
        <f>SUM(L33:L39)</f>
        <v>0</v>
      </c>
      <c r="M40" s="106">
        <f t="shared" si="16"/>
        <v>0</v>
      </c>
    </row>
    <row r="41" spans="1:13">
      <c r="C41" s="45"/>
      <c r="D41" s="45"/>
      <c r="E41" s="45"/>
      <c r="F41" s="45"/>
      <c r="G41" s="45"/>
    </row>
    <row r="42" spans="1:13" ht="14">
      <c r="A42" s="248" t="s">
        <v>63</v>
      </c>
      <c r="G42" s="45"/>
    </row>
    <row r="43" spans="1:13" ht="14">
      <c r="A43" s="443"/>
      <c r="B43" s="199"/>
      <c r="C43" s="199"/>
      <c r="D43" s="286"/>
      <c r="E43" s="286"/>
      <c r="F43" s="286"/>
      <c r="G43" s="199"/>
      <c r="H43" s="199"/>
      <c r="I43" s="199"/>
      <c r="J43" s="199"/>
      <c r="K43" s="199"/>
    </row>
    <row r="44" spans="1:13" ht="14">
      <c r="A44" s="249" t="s">
        <v>64</v>
      </c>
    </row>
    <row r="46" spans="1:13" ht="14.5">
      <c r="A46" s="147" t="s">
        <v>56</v>
      </c>
    </row>
    <row r="48" spans="1:13">
      <c r="A48" s="208"/>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90" zoomScaleNormal="90" workbookViewId="0">
      <pane xSplit="1" ySplit="10" topLeftCell="B11" activePane="bottomRight" state="frozen"/>
      <selection activeCell="A52" sqref="A52:O52"/>
      <selection pane="topRight" activeCell="A52" sqref="A52:O52"/>
      <selection pane="bottomLeft" activeCell="A52" sqref="A52:O52"/>
      <selection pane="bottomRight" activeCell="A42" sqref="A42"/>
    </sheetView>
  </sheetViews>
  <sheetFormatPr defaultRowHeight="12"/>
  <cols>
    <col min="1" max="1" width="84.26953125" style="264" customWidth="1"/>
    <col min="2" max="3" width="12.7265625" style="264" customWidth="1"/>
    <col min="4" max="4" width="9.36328125" style="264" bestFit="1" customWidth="1"/>
    <col min="5" max="10" width="12.7265625" style="264" customWidth="1"/>
    <col min="11" max="11" width="10.7265625" style="264" customWidth="1"/>
    <col min="12" max="13" width="12.7265625" style="264" customWidth="1"/>
    <col min="14" max="15" width="16.6328125" style="264" customWidth="1"/>
    <col min="16" max="16" width="16.6328125" style="264" hidden="1" customWidth="1"/>
    <col min="17" max="17" width="16.6328125" style="264" customWidth="1"/>
    <col min="18" max="256" width="9.26953125" style="264"/>
    <col min="257" max="257" width="70" style="264" customWidth="1"/>
    <col min="258" max="269" width="12.7265625" style="264" customWidth="1"/>
    <col min="270" max="270" width="11" style="264" customWidth="1"/>
    <col min="271" max="271" width="0" style="264" hidden="1" customWidth="1"/>
    <col min="272" max="273" width="11.7265625" style="264" customWidth="1"/>
    <col min="274" max="512" width="9.26953125" style="264"/>
    <col min="513" max="513" width="70" style="264" customWidth="1"/>
    <col min="514" max="525" width="12.7265625" style="264" customWidth="1"/>
    <col min="526" max="526" width="11" style="264" customWidth="1"/>
    <col min="527" max="527" width="0" style="264" hidden="1" customWidth="1"/>
    <col min="528" max="529" width="11.7265625" style="264" customWidth="1"/>
    <col min="530" max="768" width="9.26953125" style="264"/>
    <col min="769" max="769" width="70" style="264" customWidth="1"/>
    <col min="770" max="781" width="12.7265625" style="264" customWidth="1"/>
    <col min="782" max="782" width="11" style="264" customWidth="1"/>
    <col min="783" max="783" width="0" style="264" hidden="1" customWidth="1"/>
    <col min="784" max="785" width="11.7265625" style="264" customWidth="1"/>
    <col min="786" max="1024" width="9.26953125" style="264"/>
    <col min="1025" max="1025" width="70" style="264" customWidth="1"/>
    <col min="1026" max="1037" width="12.7265625" style="264" customWidth="1"/>
    <col min="1038" max="1038" width="11" style="264" customWidth="1"/>
    <col min="1039" max="1039" width="0" style="264" hidden="1" customWidth="1"/>
    <col min="1040" max="1041" width="11.7265625" style="264" customWidth="1"/>
    <col min="1042" max="1280" width="9.26953125" style="264"/>
    <col min="1281" max="1281" width="70" style="264" customWidth="1"/>
    <col min="1282" max="1293" width="12.7265625" style="264" customWidth="1"/>
    <col min="1294" max="1294" width="11" style="264" customWidth="1"/>
    <col min="1295" max="1295" width="0" style="264" hidden="1" customWidth="1"/>
    <col min="1296" max="1297" width="11.7265625" style="264" customWidth="1"/>
    <col min="1298" max="1536" width="9.26953125" style="264"/>
    <col min="1537" max="1537" width="70" style="264" customWidth="1"/>
    <col min="1538" max="1549" width="12.7265625" style="264" customWidth="1"/>
    <col min="1550" max="1550" width="11" style="264" customWidth="1"/>
    <col min="1551" max="1551" width="0" style="264" hidden="1" customWidth="1"/>
    <col min="1552" max="1553" width="11.7265625" style="264" customWidth="1"/>
    <col min="1554" max="1792" width="9.26953125" style="264"/>
    <col min="1793" max="1793" width="70" style="264" customWidth="1"/>
    <col min="1794" max="1805" width="12.7265625" style="264" customWidth="1"/>
    <col min="1806" max="1806" width="11" style="264" customWidth="1"/>
    <col min="1807" max="1807" width="0" style="264" hidden="1" customWidth="1"/>
    <col min="1808" max="1809" width="11.7265625" style="264" customWidth="1"/>
    <col min="1810" max="2048" width="9.26953125" style="264"/>
    <col min="2049" max="2049" width="70" style="264" customWidth="1"/>
    <col min="2050" max="2061" width="12.7265625" style="264" customWidth="1"/>
    <col min="2062" max="2062" width="11" style="264" customWidth="1"/>
    <col min="2063" max="2063" width="0" style="264" hidden="1" customWidth="1"/>
    <col min="2064" max="2065" width="11.7265625" style="264" customWidth="1"/>
    <col min="2066" max="2304" width="9.26953125" style="264"/>
    <col min="2305" max="2305" width="70" style="264" customWidth="1"/>
    <col min="2306" max="2317" width="12.7265625" style="264" customWidth="1"/>
    <col min="2318" max="2318" width="11" style="264" customWidth="1"/>
    <col min="2319" max="2319" width="0" style="264" hidden="1" customWidth="1"/>
    <col min="2320" max="2321" width="11.7265625" style="264" customWidth="1"/>
    <col min="2322" max="2560" width="9.26953125" style="264"/>
    <col min="2561" max="2561" width="70" style="264" customWidth="1"/>
    <col min="2562" max="2573" width="12.7265625" style="264" customWidth="1"/>
    <col min="2574" max="2574" width="11" style="264" customWidth="1"/>
    <col min="2575" max="2575" width="0" style="264" hidden="1" customWidth="1"/>
    <col min="2576" max="2577" width="11.7265625" style="264" customWidth="1"/>
    <col min="2578" max="2816" width="9.26953125" style="264"/>
    <col min="2817" max="2817" width="70" style="264" customWidth="1"/>
    <col min="2818" max="2829" width="12.7265625" style="264" customWidth="1"/>
    <col min="2830" max="2830" width="11" style="264" customWidth="1"/>
    <col min="2831" max="2831" width="0" style="264" hidden="1" customWidth="1"/>
    <col min="2832" max="2833" width="11.7265625" style="264" customWidth="1"/>
    <col min="2834" max="3072" width="9.26953125" style="264"/>
    <col min="3073" max="3073" width="70" style="264" customWidth="1"/>
    <col min="3074" max="3085" width="12.7265625" style="264" customWidth="1"/>
    <col min="3086" max="3086" width="11" style="264" customWidth="1"/>
    <col min="3087" max="3087" width="0" style="264" hidden="1" customWidth="1"/>
    <col min="3088" max="3089" width="11.7265625" style="264" customWidth="1"/>
    <col min="3090" max="3328" width="9.26953125" style="264"/>
    <col min="3329" max="3329" width="70" style="264" customWidth="1"/>
    <col min="3330" max="3341" width="12.7265625" style="264" customWidth="1"/>
    <col min="3342" max="3342" width="11" style="264" customWidth="1"/>
    <col min="3343" max="3343" width="0" style="264" hidden="1" customWidth="1"/>
    <col min="3344" max="3345" width="11.7265625" style="264" customWidth="1"/>
    <col min="3346" max="3584" width="9.26953125" style="264"/>
    <col min="3585" max="3585" width="70" style="264" customWidth="1"/>
    <col min="3586" max="3597" width="12.7265625" style="264" customWidth="1"/>
    <col min="3598" max="3598" width="11" style="264" customWidth="1"/>
    <col min="3599" max="3599" width="0" style="264" hidden="1" customWidth="1"/>
    <col min="3600" max="3601" width="11.7265625" style="264" customWidth="1"/>
    <col min="3602" max="3840" width="9.26953125" style="264"/>
    <col min="3841" max="3841" width="70" style="264" customWidth="1"/>
    <col min="3842" max="3853" width="12.7265625" style="264" customWidth="1"/>
    <col min="3854" max="3854" width="11" style="264" customWidth="1"/>
    <col min="3855" max="3855" width="0" style="264" hidden="1" customWidth="1"/>
    <col min="3856" max="3857" width="11.7265625" style="264" customWidth="1"/>
    <col min="3858" max="4096" width="9.26953125" style="264"/>
    <col min="4097" max="4097" width="70" style="264" customWidth="1"/>
    <col min="4098" max="4109" width="12.7265625" style="264" customWidth="1"/>
    <col min="4110" max="4110" width="11" style="264" customWidth="1"/>
    <col min="4111" max="4111" width="0" style="264" hidden="1" customWidth="1"/>
    <col min="4112" max="4113" width="11.7265625" style="264" customWidth="1"/>
    <col min="4114" max="4352" width="9.26953125" style="264"/>
    <col min="4353" max="4353" width="70" style="264" customWidth="1"/>
    <col min="4354" max="4365" width="12.7265625" style="264" customWidth="1"/>
    <col min="4366" max="4366" width="11" style="264" customWidth="1"/>
    <col min="4367" max="4367" width="0" style="264" hidden="1" customWidth="1"/>
    <col min="4368" max="4369" width="11.7265625" style="264" customWidth="1"/>
    <col min="4370" max="4608" width="9.26953125" style="264"/>
    <col min="4609" max="4609" width="70" style="264" customWidth="1"/>
    <col min="4610" max="4621" width="12.7265625" style="264" customWidth="1"/>
    <col min="4622" max="4622" width="11" style="264" customWidth="1"/>
    <col min="4623" max="4623" width="0" style="264" hidden="1" customWidth="1"/>
    <col min="4624" max="4625" width="11.7265625" style="264" customWidth="1"/>
    <col min="4626" max="4864" width="9.26953125" style="264"/>
    <col min="4865" max="4865" width="70" style="264" customWidth="1"/>
    <col min="4866" max="4877" width="12.7265625" style="264" customWidth="1"/>
    <col min="4878" max="4878" width="11" style="264" customWidth="1"/>
    <col min="4879" max="4879" width="0" style="264" hidden="1" customWidth="1"/>
    <col min="4880" max="4881" width="11.7265625" style="264" customWidth="1"/>
    <col min="4882" max="5120" width="9.26953125" style="264"/>
    <col min="5121" max="5121" width="70" style="264" customWidth="1"/>
    <col min="5122" max="5133" width="12.7265625" style="264" customWidth="1"/>
    <col min="5134" max="5134" width="11" style="264" customWidth="1"/>
    <col min="5135" max="5135" width="0" style="264" hidden="1" customWidth="1"/>
    <col min="5136" max="5137" width="11.7265625" style="264" customWidth="1"/>
    <col min="5138" max="5376" width="9.26953125" style="264"/>
    <col min="5377" max="5377" width="70" style="264" customWidth="1"/>
    <col min="5378" max="5389" width="12.7265625" style="264" customWidth="1"/>
    <col min="5390" max="5390" width="11" style="264" customWidth="1"/>
    <col min="5391" max="5391" width="0" style="264" hidden="1" customWidth="1"/>
    <col min="5392" max="5393" width="11.7265625" style="264" customWidth="1"/>
    <col min="5394" max="5632" width="9.26953125" style="264"/>
    <col min="5633" max="5633" width="70" style="264" customWidth="1"/>
    <col min="5634" max="5645" width="12.7265625" style="264" customWidth="1"/>
    <col min="5646" max="5646" width="11" style="264" customWidth="1"/>
    <col min="5647" max="5647" width="0" style="264" hidden="1" customWidth="1"/>
    <col min="5648" max="5649" width="11.7265625" style="264" customWidth="1"/>
    <col min="5650" max="5888" width="9.26953125" style="264"/>
    <col min="5889" max="5889" width="70" style="264" customWidth="1"/>
    <col min="5890" max="5901" width="12.7265625" style="264" customWidth="1"/>
    <col min="5902" max="5902" width="11" style="264" customWidth="1"/>
    <col min="5903" max="5903" width="0" style="264" hidden="1" customWidth="1"/>
    <col min="5904" max="5905" width="11.7265625" style="264" customWidth="1"/>
    <col min="5906" max="6144" width="9.26953125" style="264"/>
    <col min="6145" max="6145" width="70" style="264" customWidth="1"/>
    <col min="6146" max="6157" width="12.7265625" style="264" customWidth="1"/>
    <col min="6158" max="6158" width="11" style="264" customWidth="1"/>
    <col min="6159" max="6159" width="0" style="264" hidden="1" customWidth="1"/>
    <col min="6160" max="6161" width="11.7265625" style="264" customWidth="1"/>
    <col min="6162" max="6400" width="9.26953125" style="264"/>
    <col min="6401" max="6401" width="70" style="264" customWidth="1"/>
    <col min="6402" max="6413" width="12.7265625" style="264" customWidth="1"/>
    <col min="6414" max="6414" width="11" style="264" customWidth="1"/>
    <col min="6415" max="6415" width="0" style="264" hidden="1" customWidth="1"/>
    <col min="6416" max="6417" width="11.7265625" style="264" customWidth="1"/>
    <col min="6418" max="6656" width="9.26953125" style="264"/>
    <col min="6657" max="6657" width="70" style="264" customWidth="1"/>
    <col min="6658" max="6669" width="12.7265625" style="264" customWidth="1"/>
    <col min="6670" max="6670" width="11" style="264" customWidth="1"/>
    <col min="6671" max="6671" width="0" style="264" hidden="1" customWidth="1"/>
    <col min="6672" max="6673" width="11.7265625" style="264" customWidth="1"/>
    <col min="6674" max="6912" width="9.26953125" style="264"/>
    <col min="6913" max="6913" width="70" style="264" customWidth="1"/>
    <col min="6914" max="6925" width="12.7265625" style="264" customWidth="1"/>
    <col min="6926" max="6926" width="11" style="264" customWidth="1"/>
    <col min="6927" max="6927" width="0" style="264" hidden="1" customWidth="1"/>
    <col min="6928" max="6929" width="11.7265625" style="264" customWidth="1"/>
    <col min="6930" max="7168" width="9.26953125" style="264"/>
    <col min="7169" max="7169" width="70" style="264" customWidth="1"/>
    <col min="7170" max="7181" width="12.7265625" style="264" customWidth="1"/>
    <col min="7182" max="7182" width="11" style="264" customWidth="1"/>
    <col min="7183" max="7183" width="0" style="264" hidden="1" customWidth="1"/>
    <col min="7184" max="7185" width="11.7265625" style="264" customWidth="1"/>
    <col min="7186" max="7424" width="9.26953125" style="264"/>
    <col min="7425" max="7425" width="70" style="264" customWidth="1"/>
    <col min="7426" max="7437" width="12.7265625" style="264" customWidth="1"/>
    <col min="7438" max="7438" width="11" style="264" customWidth="1"/>
    <col min="7439" max="7439" width="0" style="264" hidden="1" customWidth="1"/>
    <col min="7440" max="7441" width="11.7265625" style="264" customWidth="1"/>
    <col min="7442" max="7680" width="9.26953125" style="264"/>
    <col min="7681" max="7681" width="70" style="264" customWidth="1"/>
    <col min="7682" max="7693" width="12.7265625" style="264" customWidth="1"/>
    <col min="7694" max="7694" width="11" style="264" customWidth="1"/>
    <col min="7695" max="7695" width="0" style="264" hidden="1" customWidth="1"/>
    <col min="7696" max="7697" width="11.7265625" style="264" customWidth="1"/>
    <col min="7698" max="7936" width="9.26953125" style="264"/>
    <col min="7937" max="7937" width="70" style="264" customWidth="1"/>
    <col min="7938" max="7949" width="12.7265625" style="264" customWidth="1"/>
    <col min="7950" max="7950" width="11" style="264" customWidth="1"/>
    <col min="7951" max="7951" width="0" style="264" hidden="1" customWidth="1"/>
    <col min="7952" max="7953" width="11.7265625" style="264" customWidth="1"/>
    <col min="7954" max="8192" width="9.26953125" style="264"/>
    <col min="8193" max="8193" width="70" style="264" customWidth="1"/>
    <col min="8194" max="8205" width="12.7265625" style="264" customWidth="1"/>
    <col min="8206" max="8206" width="11" style="264" customWidth="1"/>
    <col min="8207" max="8207" width="0" style="264" hidden="1" customWidth="1"/>
    <col min="8208" max="8209" width="11.7265625" style="264" customWidth="1"/>
    <col min="8210" max="8448" width="9.26953125" style="264"/>
    <col min="8449" max="8449" width="70" style="264" customWidth="1"/>
    <col min="8450" max="8461" width="12.7265625" style="264" customWidth="1"/>
    <col min="8462" max="8462" width="11" style="264" customWidth="1"/>
    <col min="8463" max="8463" width="0" style="264" hidden="1" customWidth="1"/>
    <col min="8464" max="8465" width="11.7265625" style="264" customWidth="1"/>
    <col min="8466" max="8704" width="9.26953125" style="264"/>
    <col min="8705" max="8705" width="70" style="264" customWidth="1"/>
    <col min="8706" max="8717" width="12.7265625" style="264" customWidth="1"/>
    <col min="8718" max="8718" width="11" style="264" customWidth="1"/>
    <col min="8719" max="8719" width="0" style="264" hidden="1" customWidth="1"/>
    <col min="8720" max="8721" width="11.7265625" style="264" customWidth="1"/>
    <col min="8722" max="8960" width="9.26953125" style="264"/>
    <col min="8961" max="8961" width="70" style="264" customWidth="1"/>
    <col min="8962" max="8973" width="12.7265625" style="264" customWidth="1"/>
    <col min="8974" max="8974" width="11" style="264" customWidth="1"/>
    <col min="8975" max="8975" width="0" style="264" hidden="1" customWidth="1"/>
    <col min="8976" max="8977" width="11.7265625" style="264" customWidth="1"/>
    <col min="8978" max="9216" width="9.26953125" style="264"/>
    <col min="9217" max="9217" width="70" style="264" customWidth="1"/>
    <col min="9218" max="9229" width="12.7265625" style="264" customWidth="1"/>
    <col min="9230" max="9230" width="11" style="264" customWidth="1"/>
    <col min="9231" max="9231" width="0" style="264" hidden="1" customWidth="1"/>
    <col min="9232" max="9233" width="11.7265625" style="264" customWidth="1"/>
    <col min="9234" max="9472" width="9.26953125" style="264"/>
    <col min="9473" max="9473" width="70" style="264" customWidth="1"/>
    <col min="9474" max="9485" width="12.7265625" style="264" customWidth="1"/>
    <col min="9486" max="9486" width="11" style="264" customWidth="1"/>
    <col min="9487" max="9487" width="0" style="264" hidden="1" customWidth="1"/>
    <col min="9488" max="9489" width="11.7265625" style="264" customWidth="1"/>
    <col min="9490" max="9728" width="9.26953125" style="264"/>
    <col min="9729" max="9729" width="70" style="264" customWidth="1"/>
    <col min="9730" max="9741" width="12.7265625" style="264" customWidth="1"/>
    <col min="9742" max="9742" width="11" style="264" customWidth="1"/>
    <col min="9743" max="9743" width="0" style="264" hidden="1" customWidth="1"/>
    <col min="9744" max="9745" width="11.7265625" style="264" customWidth="1"/>
    <col min="9746" max="9984" width="9.26953125" style="264"/>
    <col min="9985" max="9985" width="70" style="264" customWidth="1"/>
    <col min="9986" max="9997" width="12.7265625" style="264" customWidth="1"/>
    <col min="9998" max="9998" width="11" style="264" customWidth="1"/>
    <col min="9999" max="9999" width="0" style="264" hidden="1" customWidth="1"/>
    <col min="10000" max="10001" width="11.7265625" style="264" customWidth="1"/>
    <col min="10002" max="10240" width="9.26953125" style="264"/>
    <col min="10241" max="10241" width="70" style="264" customWidth="1"/>
    <col min="10242" max="10253" width="12.7265625" style="264" customWidth="1"/>
    <col min="10254" max="10254" width="11" style="264" customWidth="1"/>
    <col min="10255" max="10255" width="0" style="264" hidden="1" customWidth="1"/>
    <col min="10256" max="10257" width="11.7265625" style="264" customWidth="1"/>
    <col min="10258" max="10496" width="9.26953125" style="264"/>
    <col min="10497" max="10497" width="70" style="264" customWidth="1"/>
    <col min="10498" max="10509" width="12.7265625" style="264" customWidth="1"/>
    <col min="10510" max="10510" width="11" style="264" customWidth="1"/>
    <col min="10511" max="10511" width="0" style="264" hidden="1" customWidth="1"/>
    <col min="10512" max="10513" width="11.7265625" style="264" customWidth="1"/>
    <col min="10514" max="10752" width="9.26953125" style="264"/>
    <col min="10753" max="10753" width="70" style="264" customWidth="1"/>
    <col min="10754" max="10765" width="12.7265625" style="264" customWidth="1"/>
    <col min="10766" max="10766" width="11" style="264" customWidth="1"/>
    <col min="10767" max="10767" width="0" style="264" hidden="1" customWidth="1"/>
    <col min="10768" max="10769" width="11.7265625" style="264" customWidth="1"/>
    <col min="10770" max="11008" width="9.26953125" style="264"/>
    <col min="11009" max="11009" width="70" style="264" customWidth="1"/>
    <col min="11010" max="11021" width="12.7265625" style="264" customWidth="1"/>
    <col min="11022" max="11022" width="11" style="264" customWidth="1"/>
    <col min="11023" max="11023" width="0" style="264" hidden="1" customWidth="1"/>
    <col min="11024" max="11025" width="11.7265625" style="264" customWidth="1"/>
    <col min="11026" max="11264" width="9.26953125" style="264"/>
    <col min="11265" max="11265" width="70" style="264" customWidth="1"/>
    <col min="11266" max="11277" width="12.7265625" style="264" customWidth="1"/>
    <col min="11278" max="11278" width="11" style="264" customWidth="1"/>
    <col min="11279" max="11279" width="0" style="264" hidden="1" customWidth="1"/>
    <col min="11280" max="11281" width="11.7265625" style="264" customWidth="1"/>
    <col min="11282" max="11520" width="9.26953125" style="264"/>
    <col min="11521" max="11521" width="70" style="264" customWidth="1"/>
    <col min="11522" max="11533" width="12.7265625" style="264" customWidth="1"/>
    <col min="11534" max="11534" width="11" style="264" customWidth="1"/>
    <col min="11535" max="11535" width="0" style="264" hidden="1" customWidth="1"/>
    <col min="11536" max="11537" width="11.7265625" style="264" customWidth="1"/>
    <col min="11538" max="11776" width="9.26953125" style="264"/>
    <col min="11777" max="11777" width="70" style="264" customWidth="1"/>
    <col min="11778" max="11789" width="12.7265625" style="264" customWidth="1"/>
    <col min="11790" max="11790" width="11" style="264" customWidth="1"/>
    <col min="11791" max="11791" width="0" style="264" hidden="1" customWidth="1"/>
    <col min="11792" max="11793" width="11.7265625" style="264" customWidth="1"/>
    <col min="11794" max="12032" width="9.26953125" style="264"/>
    <col min="12033" max="12033" width="70" style="264" customWidth="1"/>
    <col min="12034" max="12045" width="12.7265625" style="264" customWidth="1"/>
    <col min="12046" max="12046" width="11" style="264" customWidth="1"/>
    <col min="12047" max="12047" width="0" style="264" hidden="1" customWidth="1"/>
    <col min="12048" max="12049" width="11.7265625" style="264" customWidth="1"/>
    <col min="12050" max="12288" width="9.26953125" style="264"/>
    <col min="12289" max="12289" width="70" style="264" customWidth="1"/>
    <col min="12290" max="12301" width="12.7265625" style="264" customWidth="1"/>
    <col min="12302" max="12302" width="11" style="264" customWidth="1"/>
    <col min="12303" max="12303" width="0" style="264" hidden="1" customWidth="1"/>
    <col min="12304" max="12305" width="11.7265625" style="264" customWidth="1"/>
    <col min="12306" max="12544" width="9.26953125" style="264"/>
    <col min="12545" max="12545" width="70" style="264" customWidth="1"/>
    <col min="12546" max="12557" width="12.7265625" style="264" customWidth="1"/>
    <col min="12558" max="12558" width="11" style="264" customWidth="1"/>
    <col min="12559" max="12559" width="0" style="264" hidden="1" customWidth="1"/>
    <col min="12560" max="12561" width="11.7265625" style="264" customWidth="1"/>
    <col min="12562" max="12800" width="9.26953125" style="264"/>
    <col min="12801" max="12801" width="70" style="264" customWidth="1"/>
    <col min="12802" max="12813" width="12.7265625" style="264" customWidth="1"/>
    <col min="12814" max="12814" width="11" style="264" customWidth="1"/>
    <col min="12815" max="12815" width="0" style="264" hidden="1" customWidth="1"/>
    <col min="12816" max="12817" width="11.7265625" style="264" customWidth="1"/>
    <col min="12818" max="13056" width="9.26953125" style="264"/>
    <col min="13057" max="13057" width="70" style="264" customWidth="1"/>
    <col min="13058" max="13069" width="12.7265625" style="264" customWidth="1"/>
    <col min="13070" max="13070" width="11" style="264" customWidth="1"/>
    <col min="13071" max="13071" width="0" style="264" hidden="1" customWidth="1"/>
    <col min="13072" max="13073" width="11.7265625" style="264" customWidth="1"/>
    <col min="13074" max="13312" width="9.26953125" style="264"/>
    <col min="13313" max="13313" width="70" style="264" customWidth="1"/>
    <col min="13314" max="13325" width="12.7265625" style="264" customWidth="1"/>
    <col min="13326" max="13326" width="11" style="264" customWidth="1"/>
    <col min="13327" max="13327" width="0" style="264" hidden="1" customWidth="1"/>
    <col min="13328" max="13329" width="11.7265625" style="264" customWidth="1"/>
    <col min="13330" max="13568" width="9.26953125" style="264"/>
    <col min="13569" max="13569" width="70" style="264" customWidth="1"/>
    <col min="13570" max="13581" width="12.7265625" style="264" customWidth="1"/>
    <col min="13582" max="13582" width="11" style="264" customWidth="1"/>
    <col min="13583" max="13583" width="0" style="264" hidden="1" customWidth="1"/>
    <col min="13584" max="13585" width="11.7265625" style="264" customWidth="1"/>
    <col min="13586" max="13824" width="9.26953125" style="264"/>
    <col min="13825" max="13825" width="70" style="264" customWidth="1"/>
    <col min="13826" max="13837" width="12.7265625" style="264" customWidth="1"/>
    <col min="13838" max="13838" width="11" style="264" customWidth="1"/>
    <col min="13839" max="13839" width="0" style="264" hidden="1" customWidth="1"/>
    <col min="13840" max="13841" width="11.7265625" style="264" customWidth="1"/>
    <col min="13842" max="14080" width="9.26953125" style="264"/>
    <col min="14081" max="14081" width="70" style="264" customWidth="1"/>
    <col min="14082" max="14093" width="12.7265625" style="264" customWidth="1"/>
    <col min="14094" max="14094" width="11" style="264" customWidth="1"/>
    <col min="14095" max="14095" width="0" style="264" hidden="1" customWidth="1"/>
    <col min="14096" max="14097" width="11.7265625" style="264" customWidth="1"/>
    <col min="14098" max="14336" width="9.26953125" style="264"/>
    <col min="14337" max="14337" width="70" style="264" customWidth="1"/>
    <col min="14338" max="14349" width="12.7265625" style="264" customWidth="1"/>
    <col min="14350" max="14350" width="11" style="264" customWidth="1"/>
    <col min="14351" max="14351" width="0" style="264" hidden="1" customWidth="1"/>
    <col min="14352" max="14353" width="11.7265625" style="264" customWidth="1"/>
    <col min="14354" max="14592" width="9.26953125" style="264"/>
    <col min="14593" max="14593" width="70" style="264" customWidth="1"/>
    <col min="14594" max="14605" width="12.7265625" style="264" customWidth="1"/>
    <col min="14606" max="14606" width="11" style="264" customWidth="1"/>
    <col min="14607" max="14607" width="0" style="264" hidden="1" customWidth="1"/>
    <col min="14608" max="14609" width="11.7265625" style="264" customWidth="1"/>
    <col min="14610" max="14848" width="9.26953125" style="264"/>
    <col min="14849" max="14849" width="70" style="264" customWidth="1"/>
    <col min="14850" max="14861" width="12.7265625" style="264" customWidth="1"/>
    <col min="14862" max="14862" width="11" style="264" customWidth="1"/>
    <col min="14863" max="14863" width="0" style="264" hidden="1" customWidth="1"/>
    <col min="14864" max="14865" width="11.7265625" style="264" customWidth="1"/>
    <col min="14866" max="15104" width="9.26953125" style="264"/>
    <col min="15105" max="15105" width="70" style="264" customWidth="1"/>
    <col min="15106" max="15117" width="12.7265625" style="264" customWidth="1"/>
    <col min="15118" max="15118" width="11" style="264" customWidth="1"/>
    <col min="15119" max="15119" width="0" style="264" hidden="1" customWidth="1"/>
    <col min="15120" max="15121" width="11.7265625" style="264" customWidth="1"/>
    <col min="15122" max="15360" width="9.26953125" style="264"/>
    <col min="15361" max="15361" width="70" style="264" customWidth="1"/>
    <col min="15362" max="15373" width="12.7265625" style="264" customWidth="1"/>
    <col min="15374" max="15374" width="11" style="264" customWidth="1"/>
    <col min="15375" max="15375" width="0" style="264" hidden="1" customWidth="1"/>
    <col min="15376" max="15377" width="11.7265625" style="264" customWidth="1"/>
    <col min="15378" max="15616" width="9.26953125" style="264"/>
    <col min="15617" max="15617" width="70" style="264" customWidth="1"/>
    <col min="15618" max="15629" width="12.7265625" style="264" customWidth="1"/>
    <col min="15630" max="15630" width="11" style="264" customWidth="1"/>
    <col min="15631" max="15631" width="0" style="264" hidden="1" customWidth="1"/>
    <col min="15632" max="15633" width="11.7265625" style="264" customWidth="1"/>
    <col min="15634" max="15872" width="9.26953125" style="264"/>
    <col min="15873" max="15873" width="70" style="264" customWidth="1"/>
    <col min="15874" max="15885" width="12.7265625" style="264" customWidth="1"/>
    <col min="15886" max="15886" width="11" style="264" customWidth="1"/>
    <col min="15887" max="15887" width="0" style="264" hidden="1" customWidth="1"/>
    <col min="15888" max="15889" width="11.7265625" style="264" customWidth="1"/>
    <col min="15890" max="16128" width="9.26953125" style="264"/>
    <col min="16129" max="16129" width="70" style="264" customWidth="1"/>
    <col min="16130" max="16141" width="12.7265625" style="264" customWidth="1"/>
    <col min="16142" max="16142" width="11" style="264" customWidth="1"/>
    <col min="16143" max="16143" width="0" style="264" hidden="1" customWidth="1"/>
    <col min="16144" max="16145" width="11.7265625" style="264" customWidth="1"/>
    <col min="16146" max="16384" width="9.26953125" style="264"/>
  </cols>
  <sheetData>
    <row r="1" spans="1:17" ht="13.5" customHeight="1">
      <c r="L1" s="265"/>
      <c r="O1" s="265"/>
      <c r="P1" s="265"/>
      <c r="Q1" s="265"/>
    </row>
    <row r="2" spans="1:17" ht="13.5" customHeight="1">
      <c r="C2" s="373" t="s">
        <v>39</v>
      </c>
      <c r="L2" s="265"/>
      <c r="O2" s="265"/>
      <c r="P2" s="265"/>
      <c r="Q2" s="265"/>
    </row>
    <row r="3" spans="1:17" ht="13.5" customHeight="1">
      <c r="C3" s="373" t="s">
        <v>123</v>
      </c>
      <c r="F3" s="266"/>
      <c r="G3" s="266"/>
      <c r="H3" s="266"/>
      <c r="I3" s="266"/>
      <c r="L3" s="265"/>
      <c r="O3" s="265"/>
      <c r="P3" s="265"/>
      <c r="Q3" s="265"/>
    </row>
    <row r="4" spans="1:17" ht="13.5" customHeight="1">
      <c r="B4" s="266"/>
      <c r="C4" s="374" t="str">
        <f>'Program MW '!H3</f>
        <v>April 2021</v>
      </c>
      <c r="D4" s="266"/>
      <c r="L4" s="265"/>
      <c r="O4" s="265"/>
      <c r="P4" s="265"/>
      <c r="Q4" s="265"/>
    </row>
    <row r="5" spans="1:17" ht="13.5" customHeight="1">
      <c r="L5" s="265"/>
      <c r="O5" s="265"/>
      <c r="P5" s="265"/>
      <c r="Q5" s="265"/>
    </row>
    <row r="6" spans="1:17" s="278" customFormat="1" ht="13.5" customHeight="1"/>
    <row r="7" spans="1:17" s="278" customFormat="1" ht="18" customHeight="1">
      <c r="A7" s="307"/>
      <c r="B7" s="375" t="s">
        <v>256</v>
      </c>
      <c r="C7" s="307"/>
      <c r="D7" s="307"/>
      <c r="E7" s="307"/>
      <c r="F7" s="307"/>
      <c r="G7" s="307"/>
      <c r="H7" s="307"/>
      <c r="I7" s="307"/>
      <c r="J7" s="307"/>
      <c r="K7" s="307"/>
      <c r="L7" s="307"/>
      <c r="M7" s="307"/>
      <c r="N7" s="700" t="s">
        <v>246</v>
      </c>
      <c r="O7" s="698" t="s">
        <v>248</v>
      </c>
      <c r="P7" s="279"/>
      <c r="Q7" s="700" t="s">
        <v>124</v>
      </c>
    </row>
    <row r="8" spans="1:17" s="278" customFormat="1" ht="39" customHeight="1">
      <c r="A8" s="366"/>
      <c r="B8" s="376" t="s">
        <v>41</v>
      </c>
      <c r="C8" s="377" t="s">
        <v>42</v>
      </c>
      <c r="D8" s="377" t="s">
        <v>43</v>
      </c>
      <c r="E8" s="377" t="s">
        <v>44</v>
      </c>
      <c r="F8" s="377" t="s">
        <v>31</v>
      </c>
      <c r="G8" s="377" t="s">
        <v>45</v>
      </c>
      <c r="H8" s="377" t="s">
        <v>59</v>
      </c>
      <c r="I8" s="377" t="s">
        <v>66</v>
      </c>
      <c r="J8" s="377" t="s">
        <v>67</v>
      </c>
      <c r="K8" s="407" t="s">
        <v>125</v>
      </c>
      <c r="L8" s="377" t="s">
        <v>68</v>
      </c>
      <c r="M8" s="377" t="s">
        <v>62</v>
      </c>
      <c r="N8" s="701"/>
      <c r="O8" s="699"/>
      <c r="P8" s="280" t="s">
        <v>126</v>
      </c>
      <c r="Q8" s="701"/>
    </row>
    <row r="9" spans="1:17" s="278" customFormat="1" ht="15.5">
      <c r="A9" s="382" t="s">
        <v>127</v>
      </c>
      <c r="B9" s="365"/>
      <c r="N9" s="312"/>
      <c r="Q9" s="287"/>
    </row>
    <row r="10" spans="1:17" s="278" customFormat="1" ht="13">
      <c r="A10" s="378" t="s">
        <v>128</v>
      </c>
      <c r="B10" s="365"/>
      <c r="C10" s="365"/>
      <c r="D10" s="365"/>
      <c r="E10" s="365"/>
      <c r="F10" s="365"/>
      <c r="G10" s="365"/>
      <c r="H10" s="365"/>
      <c r="I10" s="365"/>
      <c r="J10" s="365"/>
      <c r="K10" s="365"/>
      <c r="L10" s="365"/>
      <c r="M10" s="365"/>
      <c r="N10" s="312"/>
      <c r="O10" s="364"/>
      <c r="P10" s="282"/>
      <c r="Q10" s="288"/>
    </row>
    <row r="11" spans="1:17" s="278" customFormat="1" ht="13">
      <c r="A11" s="379" t="s">
        <v>129</v>
      </c>
      <c r="B11" s="466">
        <v>11850</v>
      </c>
      <c r="C11" s="466">
        <v>31485.81</v>
      </c>
      <c r="D11" s="466">
        <v>36584.06</v>
      </c>
      <c r="E11" s="466">
        <v>25762.2</v>
      </c>
      <c r="F11" s="466">
        <v>0</v>
      </c>
      <c r="G11" s="466">
        <v>0</v>
      </c>
      <c r="H11" s="466">
        <v>0</v>
      </c>
      <c r="I11" s="466">
        <v>0</v>
      </c>
      <c r="J11" s="466">
        <v>0</v>
      </c>
      <c r="K11" s="466">
        <v>0</v>
      </c>
      <c r="L11" s="466">
        <v>0</v>
      </c>
      <c r="M11" s="466">
        <v>0</v>
      </c>
      <c r="N11" s="583">
        <f t="shared" ref="N11:N22" si="0">SUM(B11:M11)</f>
        <v>105682.06999999999</v>
      </c>
      <c r="O11" s="584">
        <f>707141+443068+428874+N11</f>
        <v>1684765.07</v>
      </c>
      <c r="P11" s="585"/>
      <c r="Q11" s="582">
        <f>848010+857842+857842+250000</f>
        <v>2813694</v>
      </c>
    </row>
    <row r="12" spans="1:17" s="278" customFormat="1" ht="15">
      <c r="A12" s="379" t="s">
        <v>257</v>
      </c>
      <c r="B12" s="466">
        <v>0</v>
      </c>
      <c r="C12" s="466">
        <v>0</v>
      </c>
      <c r="D12" s="466">
        <v>315.39999999999998</v>
      </c>
      <c r="E12" s="466">
        <v>67.830000000000041</v>
      </c>
      <c r="F12" s="466">
        <v>0</v>
      </c>
      <c r="G12" s="466">
        <v>0</v>
      </c>
      <c r="H12" s="466">
        <v>0</v>
      </c>
      <c r="I12" s="466">
        <v>0</v>
      </c>
      <c r="J12" s="466">
        <v>0</v>
      </c>
      <c r="K12" s="466">
        <v>0</v>
      </c>
      <c r="L12" s="466">
        <v>0</v>
      </c>
      <c r="M12" s="466">
        <v>0</v>
      </c>
      <c r="N12" s="579">
        <f t="shared" si="0"/>
        <v>383.23</v>
      </c>
      <c r="O12" s="580">
        <f>7808+9482+6823+N12</f>
        <v>24496.23</v>
      </c>
      <c r="P12" s="581"/>
      <c r="Q12" s="582">
        <v>35302</v>
      </c>
    </row>
    <row r="13" spans="1:17" s="278" customFormat="1" ht="13">
      <c r="A13" s="379" t="s">
        <v>130</v>
      </c>
      <c r="B13" s="466">
        <v>0</v>
      </c>
      <c r="C13" s="466">
        <v>0</v>
      </c>
      <c r="D13" s="466">
        <v>0</v>
      </c>
      <c r="E13" s="466">
        <v>0</v>
      </c>
      <c r="F13" s="466">
        <v>0</v>
      </c>
      <c r="G13" s="466">
        <v>0</v>
      </c>
      <c r="H13" s="466">
        <v>0</v>
      </c>
      <c r="I13" s="466">
        <v>0</v>
      </c>
      <c r="J13" s="466">
        <v>0</v>
      </c>
      <c r="K13" s="466">
        <v>0</v>
      </c>
      <c r="L13" s="466">
        <v>0</v>
      </c>
      <c r="M13" s="466">
        <v>0</v>
      </c>
      <c r="N13" s="491">
        <f t="shared" si="0"/>
        <v>0</v>
      </c>
      <c r="O13" s="467">
        <f>0+N13</f>
        <v>0</v>
      </c>
      <c r="P13" s="468"/>
      <c r="Q13" s="469">
        <v>1000</v>
      </c>
    </row>
    <row r="14" spans="1:17" s="278" customFormat="1" ht="13">
      <c r="A14" s="379" t="s">
        <v>258</v>
      </c>
      <c r="B14" s="466">
        <v>0</v>
      </c>
      <c r="C14" s="466">
        <v>0</v>
      </c>
      <c r="D14" s="466">
        <v>627</v>
      </c>
      <c r="E14" s="466">
        <v>139.45000000000005</v>
      </c>
      <c r="F14" s="466">
        <v>0</v>
      </c>
      <c r="G14" s="466">
        <v>0</v>
      </c>
      <c r="H14" s="466">
        <v>0</v>
      </c>
      <c r="I14" s="466">
        <v>0</v>
      </c>
      <c r="J14" s="466">
        <v>0</v>
      </c>
      <c r="K14" s="466">
        <v>0</v>
      </c>
      <c r="L14" s="466">
        <v>0</v>
      </c>
      <c r="M14" s="466">
        <v>0</v>
      </c>
      <c r="N14" s="491">
        <f t="shared" si="0"/>
        <v>766.45</v>
      </c>
      <c r="O14" s="467">
        <f>4889+16666+13948+N14</f>
        <v>36269.449999999997</v>
      </c>
      <c r="P14" s="468"/>
      <c r="Q14" s="469">
        <v>78149</v>
      </c>
    </row>
    <row r="15" spans="1:17" s="278" customFormat="1" ht="15">
      <c r="A15" s="379" t="s">
        <v>259</v>
      </c>
      <c r="B15" s="466">
        <v>0</v>
      </c>
      <c r="C15" s="466">
        <v>0</v>
      </c>
      <c r="D15" s="466">
        <v>1620.44</v>
      </c>
      <c r="E15" s="466">
        <v>1297.3</v>
      </c>
      <c r="F15" s="466">
        <v>0</v>
      </c>
      <c r="G15" s="466">
        <v>0</v>
      </c>
      <c r="H15" s="466">
        <v>0</v>
      </c>
      <c r="I15" s="466">
        <v>0</v>
      </c>
      <c r="J15" s="466">
        <v>0</v>
      </c>
      <c r="K15" s="466">
        <v>0</v>
      </c>
      <c r="L15" s="466">
        <v>0</v>
      </c>
      <c r="M15" s="466">
        <v>0</v>
      </c>
      <c r="N15" s="491">
        <f t="shared" si="0"/>
        <v>2917.74</v>
      </c>
      <c r="O15" s="467">
        <f>49396+43751+41371+N15</f>
        <v>137435.74</v>
      </c>
      <c r="P15" s="468"/>
      <c r="Q15" s="469">
        <f>606299/2</f>
        <v>303149.5</v>
      </c>
    </row>
    <row r="16" spans="1:17" s="278" customFormat="1" ht="13">
      <c r="A16" s="379" t="s">
        <v>260</v>
      </c>
      <c r="B16" s="466">
        <v>0</v>
      </c>
      <c r="C16" s="466">
        <v>0</v>
      </c>
      <c r="D16" s="466">
        <v>3629</v>
      </c>
      <c r="E16" s="466">
        <v>203.19999999999982</v>
      </c>
      <c r="F16" s="466">
        <v>0</v>
      </c>
      <c r="G16" s="466">
        <v>0</v>
      </c>
      <c r="H16" s="466">
        <v>0</v>
      </c>
      <c r="I16" s="466">
        <v>0</v>
      </c>
      <c r="J16" s="466">
        <v>0</v>
      </c>
      <c r="K16" s="466">
        <v>0</v>
      </c>
      <c r="L16" s="466">
        <v>0</v>
      </c>
      <c r="M16" s="466">
        <v>0</v>
      </c>
      <c r="N16" s="491">
        <f t="shared" si="0"/>
        <v>3832.2</v>
      </c>
      <c r="O16" s="467">
        <f>30843+118853+87496+N16</f>
        <v>241024.2</v>
      </c>
      <c r="P16" s="468"/>
      <c r="Q16" s="469">
        <v>303150</v>
      </c>
    </row>
    <row r="17" spans="1:122" s="278" customFormat="1" ht="13">
      <c r="A17" s="379" t="s">
        <v>261</v>
      </c>
      <c r="B17" s="466">
        <v>0</v>
      </c>
      <c r="C17" s="466">
        <v>0</v>
      </c>
      <c r="D17" s="466">
        <v>5494.8</v>
      </c>
      <c r="E17" s="466">
        <v>253.57999999999993</v>
      </c>
      <c r="F17" s="466">
        <v>0</v>
      </c>
      <c r="G17" s="466">
        <v>0</v>
      </c>
      <c r="H17" s="466">
        <v>0</v>
      </c>
      <c r="I17" s="466">
        <v>0</v>
      </c>
      <c r="J17" s="466">
        <v>0</v>
      </c>
      <c r="K17" s="466">
        <v>0</v>
      </c>
      <c r="L17" s="466">
        <v>0</v>
      </c>
      <c r="M17" s="466">
        <v>0</v>
      </c>
      <c r="N17" s="491">
        <f t="shared" si="0"/>
        <v>5748.38</v>
      </c>
      <c r="O17" s="467">
        <f>73278+155232+113200+N17</f>
        <v>347458.38</v>
      </c>
      <c r="P17" s="468"/>
      <c r="Q17" s="469">
        <v>643043</v>
      </c>
    </row>
    <row r="18" spans="1:122" s="278" customFormat="1" ht="15">
      <c r="A18" s="380" t="s">
        <v>313</v>
      </c>
      <c r="B18" s="466">
        <v>0</v>
      </c>
      <c r="C18" s="466">
        <v>0</v>
      </c>
      <c r="D18" s="466">
        <v>2827.2</v>
      </c>
      <c r="E18" s="466">
        <v>-144.61999999999989</v>
      </c>
      <c r="F18" s="466">
        <v>0</v>
      </c>
      <c r="G18" s="466">
        <v>0</v>
      </c>
      <c r="H18" s="466">
        <v>0</v>
      </c>
      <c r="I18" s="466">
        <v>0</v>
      </c>
      <c r="J18" s="466">
        <v>0</v>
      </c>
      <c r="K18" s="466">
        <v>0</v>
      </c>
      <c r="L18" s="466">
        <v>0</v>
      </c>
      <c r="M18" s="466">
        <v>0</v>
      </c>
      <c r="N18" s="491">
        <f t="shared" si="0"/>
        <v>2682.58</v>
      </c>
      <c r="O18" s="467">
        <f>21091+92048+63087+N18</f>
        <v>178908.58</v>
      </c>
      <c r="P18" s="468"/>
      <c r="Q18" s="469">
        <v>383701</v>
      </c>
    </row>
    <row r="19" spans="1:122" s="278" customFormat="1" ht="13">
      <c r="A19" s="380" t="s">
        <v>101</v>
      </c>
      <c r="B19" s="466">
        <v>1375</v>
      </c>
      <c r="C19" s="466">
        <v>0</v>
      </c>
      <c r="D19" s="466">
        <v>9270.880000000001</v>
      </c>
      <c r="E19" s="466">
        <v>543.64999999999964</v>
      </c>
      <c r="F19" s="466">
        <v>0</v>
      </c>
      <c r="G19" s="466">
        <v>0</v>
      </c>
      <c r="H19" s="466">
        <v>0</v>
      </c>
      <c r="I19" s="466">
        <v>0</v>
      </c>
      <c r="J19" s="466">
        <v>0</v>
      </c>
      <c r="K19" s="466">
        <v>0</v>
      </c>
      <c r="L19" s="466">
        <v>0</v>
      </c>
      <c r="M19" s="466">
        <v>0</v>
      </c>
      <c r="N19" s="491">
        <f t="shared" si="0"/>
        <v>11189.53</v>
      </c>
      <c r="O19" s="467">
        <f>107379+332446+264713+N19</f>
        <v>715727.53</v>
      </c>
      <c r="P19" s="468"/>
      <c r="Q19" s="469">
        <v>1102357</v>
      </c>
    </row>
    <row r="20" spans="1:122" s="278" customFormat="1" ht="15">
      <c r="A20" s="380" t="s">
        <v>314</v>
      </c>
      <c r="B20" s="466">
        <v>1375</v>
      </c>
      <c r="C20" s="466">
        <v>0</v>
      </c>
      <c r="D20" s="466">
        <v>16627.38</v>
      </c>
      <c r="E20" s="466">
        <v>-719.32000000000153</v>
      </c>
      <c r="F20" s="466">
        <v>0</v>
      </c>
      <c r="G20" s="466">
        <v>0</v>
      </c>
      <c r="H20" s="466">
        <v>0</v>
      </c>
      <c r="I20" s="466">
        <v>0</v>
      </c>
      <c r="J20" s="466">
        <v>0</v>
      </c>
      <c r="K20" s="466">
        <v>0</v>
      </c>
      <c r="L20" s="466">
        <v>0</v>
      </c>
      <c r="M20" s="466">
        <v>0</v>
      </c>
      <c r="N20" s="491">
        <f t="shared" si="0"/>
        <v>17283.059999999998</v>
      </c>
      <c r="O20" s="467">
        <f>210842+454257+423019+N20</f>
        <v>1105401.06</v>
      </c>
      <c r="P20" s="468"/>
      <c r="Q20" s="469">
        <v>1653537</v>
      </c>
    </row>
    <row r="21" spans="1:122" s="278" customFormat="1" ht="13">
      <c r="A21" s="380" t="s">
        <v>131</v>
      </c>
      <c r="B21" s="466">
        <v>0</v>
      </c>
      <c r="C21" s="466">
        <v>0</v>
      </c>
      <c r="D21" s="466">
        <v>0</v>
      </c>
      <c r="E21" s="466">
        <v>0</v>
      </c>
      <c r="F21" s="466">
        <v>0</v>
      </c>
      <c r="G21" s="466">
        <v>0</v>
      </c>
      <c r="H21" s="466">
        <v>0</v>
      </c>
      <c r="I21" s="466">
        <v>0</v>
      </c>
      <c r="J21" s="466">
        <v>0</v>
      </c>
      <c r="K21" s="466">
        <v>0</v>
      </c>
      <c r="L21" s="466">
        <v>0</v>
      </c>
      <c r="M21" s="466">
        <v>0</v>
      </c>
      <c r="N21" s="491">
        <f t="shared" si="0"/>
        <v>0</v>
      </c>
      <c r="O21" s="467">
        <f>2328+N21</f>
        <v>2328</v>
      </c>
      <c r="P21" s="468"/>
      <c r="Q21" s="469">
        <v>0</v>
      </c>
    </row>
    <row r="22" spans="1:122" s="278" customFormat="1" ht="13">
      <c r="A22" s="381" t="s">
        <v>132</v>
      </c>
      <c r="B22" s="466">
        <v>0</v>
      </c>
      <c r="C22" s="466">
        <v>0</v>
      </c>
      <c r="D22" s="466">
        <v>0</v>
      </c>
      <c r="E22" s="466">
        <v>0</v>
      </c>
      <c r="F22" s="466">
        <v>0</v>
      </c>
      <c r="G22" s="466">
        <v>0</v>
      </c>
      <c r="H22" s="466">
        <v>0</v>
      </c>
      <c r="I22" s="466">
        <v>0</v>
      </c>
      <c r="J22" s="466">
        <v>0</v>
      </c>
      <c r="K22" s="466">
        <v>0</v>
      </c>
      <c r="L22" s="466">
        <v>0</v>
      </c>
      <c r="M22" s="466">
        <v>0</v>
      </c>
      <c r="N22" s="491">
        <f t="shared" si="0"/>
        <v>0</v>
      </c>
      <c r="O22" s="467">
        <f>530+N22</f>
        <v>530</v>
      </c>
      <c r="P22" s="468"/>
      <c r="Q22" s="469">
        <v>50000</v>
      </c>
    </row>
    <row r="23" spans="1:122" s="283" customFormat="1" ht="15.5">
      <c r="A23" s="383" t="s">
        <v>133</v>
      </c>
      <c r="B23" s="470">
        <f t="shared" ref="B23:M23" si="1">SUM(B11:B22)</f>
        <v>14600</v>
      </c>
      <c r="C23" s="470">
        <f t="shared" si="1"/>
        <v>31485.81</v>
      </c>
      <c r="D23" s="470">
        <f t="shared" si="1"/>
        <v>76996.160000000003</v>
      </c>
      <c r="E23" s="470">
        <f t="shared" si="1"/>
        <v>27403.270000000004</v>
      </c>
      <c r="F23" s="470">
        <f t="shared" si="1"/>
        <v>0</v>
      </c>
      <c r="G23" s="470">
        <f t="shared" si="1"/>
        <v>0</v>
      </c>
      <c r="H23" s="470">
        <f t="shared" si="1"/>
        <v>0</v>
      </c>
      <c r="I23" s="470">
        <f t="shared" si="1"/>
        <v>0</v>
      </c>
      <c r="J23" s="470">
        <f t="shared" si="1"/>
        <v>0</v>
      </c>
      <c r="K23" s="470">
        <f t="shared" si="1"/>
        <v>0</v>
      </c>
      <c r="L23" s="470">
        <f t="shared" si="1"/>
        <v>0</v>
      </c>
      <c r="M23" s="470">
        <f t="shared" si="1"/>
        <v>0</v>
      </c>
      <c r="N23" s="576">
        <f>SUM(N11:N22)</f>
        <v>150485.24</v>
      </c>
      <c r="O23" s="471">
        <f>SUM(O11:O22)</f>
        <v>4474344.24</v>
      </c>
      <c r="P23" s="472"/>
      <c r="Q23" s="471">
        <f>SUM(Q11:Q22)</f>
        <v>7367082.5</v>
      </c>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8"/>
      <c r="BD23" s="278"/>
      <c r="BE23" s="278"/>
      <c r="BF23" s="278"/>
      <c r="BG23" s="278"/>
      <c r="BH23" s="278"/>
      <c r="BI23" s="278"/>
      <c r="BJ23" s="278"/>
      <c r="BK23" s="278"/>
      <c r="BL23" s="278"/>
      <c r="BM23" s="278"/>
      <c r="BN23" s="278"/>
      <c r="BO23" s="278"/>
      <c r="BP23" s="278"/>
      <c r="BQ23" s="278"/>
      <c r="BR23" s="278"/>
      <c r="BS23" s="278"/>
      <c r="BT23" s="278"/>
      <c r="BU23" s="278"/>
      <c r="BV23" s="278"/>
      <c r="BW23" s="278"/>
      <c r="BX23" s="278"/>
      <c r="BY23" s="278"/>
      <c r="BZ23" s="278"/>
      <c r="CA23" s="278"/>
      <c r="CB23" s="278"/>
      <c r="CC23" s="278"/>
      <c r="CD23" s="278"/>
      <c r="CE23" s="278"/>
      <c r="CF23" s="278"/>
      <c r="CG23" s="278"/>
      <c r="CH23" s="278"/>
      <c r="CI23" s="278"/>
      <c r="CJ23" s="278"/>
      <c r="CK23" s="278"/>
      <c r="CL23" s="278"/>
      <c r="CM23" s="278"/>
      <c r="CN23" s="278"/>
      <c r="CO23" s="278"/>
      <c r="CP23" s="278"/>
      <c r="CQ23" s="278"/>
      <c r="CR23" s="278"/>
      <c r="CS23" s="278"/>
      <c r="CT23" s="278"/>
      <c r="CU23" s="278"/>
      <c r="CV23" s="278"/>
      <c r="CW23" s="278"/>
      <c r="CX23" s="278"/>
      <c r="CY23" s="278"/>
      <c r="CZ23" s="278"/>
      <c r="DA23" s="278"/>
      <c r="DB23" s="278"/>
      <c r="DC23" s="278"/>
      <c r="DD23" s="278"/>
      <c r="DE23" s="278"/>
      <c r="DF23" s="278"/>
      <c r="DG23" s="278"/>
      <c r="DH23" s="278"/>
      <c r="DI23" s="278"/>
      <c r="DJ23" s="278"/>
      <c r="DK23" s="278"/>
      <c r="DL23" s="278"/>
      <c r="DM23" s="278"/>
      <c r="DN23" s="278"/>
      <c r="DO23" s="278"/>
      <c r="DP23" s="278"/>
      <c r="DQ23" s="278"/>
      <c r="DR23" s="278"/>
    </row>
    <row r="24" spans="1:122" s="278" customFormat="1" ht="13">
      <c r="A24" s="289"/>
      <c r="B24" s="473"/>
      <c r="C24" s="474"/>
      <c r="D24" s="474"/>
      <c r="E24" s="474"/>
      <c r="F24" s="474"/>
      <c r="G24" s="474"/>
      <c r="H24" s="474"/>
      <c r="I24" s="474"/>
      <c r="J24" s="474"/>
      <c r="K24" s="474"/>
      <c r="L24" s="474"/>
      <c r="M24" s="474"/>
      <c r="N24" s="474"/>
      <c r="O24" s="474"/>
      <c r="P24" s="474"/>
      <c r="Q24" s="475"/>
    </row>
    <row r="25" spans="1:122" s="278" customFormat="1" ht="15.5">
      <c r="A25" s="384" t="s">
        <v>134</v>
      </c>
      <c r="B25" s="473"/>
      <c r="C25" s="476"/>
      <c r="D25" s="476"/>
      <c r="E25" s="476"/>
      <c r="F25" s="476"/>
      <c r="G25" s="476"/>
      <c r="H25" s="476"/>
      <c r="I25" s="476"/>
      <c r="J25" s="476"/>
      <c r="K25" s="476"/>
      <c r="L25" s="476"/>
      <c r="M25" s="476"/>
      <c r="N25" s="477"/>
      <c r="O25" s="476"/>
      <c r="P25" s="474"/>
      <c r="Q25" s="478"/>
    </row>
    <row r="26" spans="1:122" s="278" customFormat="1" ht="13">
      <c r="A26" s="380" t="s">
        <v>135</v>
      </c>
      <c r="B26" s="479">
        <v>0</v>
      </c>
      <c r="C26" s="479">
        <v>0</v>
      </c>
      <c r="D26" s="479">
        <v>0</v>
      </c>
      <c r="E26" s="479">
        <v>0</v>
      </c>
      <c r="F26" s="479">
        <v>0</v>
      </c>
      <c r="G26" s="479">
        <v>0</v>
      </c>
      <c r="H26" s="479">
        <v>0</v>
      </c>
      <c r="I26" s="479">
        <v>0</v>
      </c>
      <c r="J26" s="479">
        <v>0</v>
      </c>
      <c r="K26" s="479">
        <v>0</v>
      </c>
      <c r="L26" s="479">
        <v>0</v>
      </c>
      <c r="M26" s="479">
        <v>0</v>
      </c>
      <c r="N26" s="577">
        <f t="shared" ref="N26:N30" si="2">SUM(B26:M26)</f>
        <v>0</v>
      </c>
      <c r="O26" s="480">
        <f>0+N26</f>
        <v>0</v>
      </c>
      <c r="P26" s="474"/>
      <c r="Q26" s="475"/>
    </row>
    <row r="27" spans="1:122" s="278" customFormat="1" ht="13">
      <c r="A27" s="379" t="s">
        <v>262</v>
      </c>
      <c r="B27" s="481">
        <v>0.49</v>
      </c>
      <c r="C27" s="481">
        <v>0</v>
      </c>
      <c r="D27" s="481">
        <v>66.239999999999995</v>
      </c>
      <c r="E27" s="481">
        <v>0</v>
      </c>
      <c r="F27" s="481">
        <v>0</v>
      </c>
      <c r="G27" s="481">
        <v>0</v>
      </c>
      <c r="H27" s="481">
        <v>0</v>
      </c>
      <c r="I27" s="481">
        <v>0</v>
      </c>
      <c r="J27" s="481">
        <v>0</v>
      </c>
      <c r="K27" s="481">
        <v>0</v>
      </c>
      <c r="L27" s="481">
        <v>0</v>
      </c>
      <c r="M27" s="481">
        <v>0</v>
      </c>
      <c r="N27" s="578">
        <f t="shared" si="2"/>
        <v>66.72999999999999</v>
      </c>
      <c r="O27" s="467">
        <f>79348+33670+134507+N27</f>
        <v>247591.73</v>
      </c>
      <c r="P27" s="474"/>
      <c r="Q27" s="475"/>
    </row>
    <row r="28" spans="1:122" s="278" customFormat="1" ht="13">
      <c r="A28" s="379" t="s">
        <v>136</v>
      </c>
      <c r="B28" s="481">
        <v>18233.669999999998</v>
      </c>
      <c r="C28" s="481">
        <v>17764.310000000005</v>
      </c>
      <c r="D28" s="481">
        <v>17228.580000000005</v>
      </c>
      <c r="E28" s="481">
        <v>11049.689999999997</v>
      </c>
      <c r="F28" s="481">
        <v>0</v>
      </c>
      <c r="G28" s="481">
        <v>0</v>
      </c>
      <c r="H28" s="481">
        <v>0</v>
      </c>
      <c r="I28" s="481">
        <v>0</v>
      </c>
      <c r="J28" s="481">
        <v>0</v>
      </c>
      <c r="K28" s="481">
        <v>0</v>
      </c>
      <c r="L28" s="481">
        <v>0</v>
      </c>
      <c r="M28" s="481">
        <v>0</v>
      </c>
      <c r="N28" s="578">
        <f t="shared" si="2"/>
        <v>64276.250000000007</v>
      </c>
      <c r="O28" s="467">
        <f>426330+346126+260890+N28</f>
        <v>1097622.25</v>
      </c>
      <c r="P28" s="474"/>
      <c r="Q28" s="475"/>
    </row>
    <row r="29" spans="1:122" s="278" customFormat="1" ht="15">
      <c r="A29" s="379" t="s">
        <v>263</v>
      </c>
      <c r="B29" s="481">
        <v>2750</v>
      </c>
      <c r="C29" s="481">
        <v>0</v>
      </c>
      <c r="D29" s="481">
        <v>40201.350000000006</v>
      </c>
      <c r="E29" s="481">
        <v>1641.0499999999979</v>
      </c>
      <c r="F29" s="481">
        <v>0</v>
      </c>
      <c r="G29" s="481">
        <v>0</v>
      </c>
      <c r="H29" s="481">
        <v>0</v>
      </c>
      <c r="I29" s="481">
        <v>0</v>
      </c>
      <c r="J29" s="481">
        <v>0</v>
      </c>
      <c r="K29" s="481">
        <v>0</v>
      </c>
      <c r="L29" s="481">
        <v>0</v>
      </c>
      <c r="M29" s="481">
        <v>0</v>
      </c>
      <c r="N29" s="578">
        <f t="shared" si="2"/>
        <v>44592.4</v>
      </c>
      <c r="O29" s="467">
        <f>377868+1193884+886571+N29</f>
        <v>2502915.4</v>
      </c>
      <c r="P29" s="474"/>
      <c r="Q29" s="475"/>
    </row>
    <row r="30" spans="1:122" s="278" customFormat="1" ht="15">
      <c r="A30" s="379" t="s">
        <v>264</v>
      </c>
      <c r="B30" s="709">
        <v>-6384</v>
      </c>
      <c r="C30" s="482">
        <v>13721.5</v>
      </c>
      <c r="D30" s="482">
        <v>19500</v>
      </c>
      <c r="E30" s="482">
        <v>14712.5</v>
      </c>
      <c r="F30" s="482">
        <v>0</v>
      </c>
      <c r="G30" s="482">
        <v>0</v>
      </c>
      <c r="H30" s="482">
        <v>0</v>
      </c>
      <c r="I30" s="482">
        <v>0</v>
      </c>
      <c r="J30" s="482">
        <v>0</v>
      </c>
      <c r="K30" s="482">
        <v>0</v>
      </c>
      <c r="L30" s="482">
        <v>0</v>
      </c>
      <c r="M30" s="482">
        <v>0</v>
      </c>
      <c r="N30" s="578">
        <f t="shared" si="2"/>
        <v>41550</v>
      </c>
      <c r="O30" s="483">
        <f>331980+92124+160561+N30</f>
        <v>626215</v>
      </c>
      <c r="P30" s="474"/>
      <c r="Q30" s="475"/>
    </row>
    <row r="31" spans="1:122" s="278" customFormat="1" ht="15.5">
      <c r="A31" s="383" t="s">
        <v>137</v>
      </c>
      <c r="B31" s="484">
        <f>SUM(B26:B30)</f>
        <v>14600.16</v>
      </c>
      <c r="C31" s="485">
        <f t="shared" ref="C31:M31" si="3">SUM(C26:C30)</f>
        <v>31485.810000000005</v>
      </c>
      <c r="D31" s="485">
        <f t="shared" si="3"/>
        <v>76996.170000000013</v>
      </c>
      <c r="E31" s="485">
        <f t="shared" si="3"/>
        <v>27403.239999999994</v>
      </c>
      <c r="F31" s="485">
        <f t="shared" si="3"/>
        <v>0</v>
      </c>
      <c r="G31" s="485">
        <f t="shared" si="3"/>
        <v>0</v>
      </c>
      <c r="H31" s="485">
        <f t="shared" si="3"/>
        <v>0</v>
      </c>
      <c r="I31" s="485">
        <f t="shared" si="3"/>
        <v>0</v>
      </c>
      <c r="J31" s="485">
        <f t="shared" si="3"/>
        <v>0</v>
      </c>
      <c r="K31" s="485">
        <f t="shared" si="3"/>
        <v>0</v>
      </c>
      <c r="L31" s="485">
        <f t="shared" si="3"/>
        <v>0</v>
      </c>
      <c r="M31" s="485">
        <f t="shared" si="3"/>
        <v>0</v>
      </c>
      <c r="N31" s="576">
        <f>SUM(N26:N30)</f>
        <v>150485.38</v>
      </c>
      <c r="O31" s="485">
        <f>SUM(O26:O30)</f>
        <v>4474344.38</v>
      </c>
      <c r="P31" s="472"/>
      <c r="Q31" s="486"/>
    </row>
    <row r="32" spans="1:122" s="278" customFormat="1" ht="13">
      <c r="A32" s="290"/>
      <c r="B32" s="487"/>
      <c r="C32" s="488"/>
      <c r="D32" s="488"/>
      <c r="E32" s="488"/>
      <c r="F32" s="488"/>
      <c r="G32" s="488"/>
      <c r="H32" s="488"/>
      <c r="I32" s="488"/>
      <c r="J32" s="488"/>
      <c r="K32" s="488"/>
      <c r="L32" s="488"/>
      <c r="M32" s="488"/>
      <c r="N32" s="488"/>
      <c r="O32" s="488"/>
      <c r="P32" s="489"/>
      <c r="Q32" s="490"/>
    </row>
    <row r="33" spans="1:17" s="278" customFormat="1" ht="15.5">
      <c r="A33" s="384" t="s">
        <v>138</v>
      </c>
      <c r="B33" s="473"/>
      <c r="C33" s="476"/>
      <c r="D33" s="476"/>
      <c r="E33" s="476"/>
      <c r="F33" s="476"/>
      <c r="G33" s="476"/>
      <c r="H33" s="476"/>
      <c r="I33" s="476"/>
      <c r="J33" s="476"/>
      <c r="K33" s="476"/>
      <c r="L33" s="476"/>
      <c r="M33" s="476"/>
      <c r="N33" s="477"/>
      <c r="O33" s="477"/>
      <c r="P33" s="474"/>
      <c r="Q33" s="478"/>
    </row>
    <row r="34" spans="1:17" s="278" customFormat="1" ht="15">
      <c r="A34" s="379" t="s">
        <v>139</v>
      </c>
      <c r="B34" s="479">
        <v>0</v>
      </c>
      <c r="C34" s="479">
        <v>0</v>
      </c>
      <c r="D34" s="479">
        <v>0</v>
      </c>
      <c r="E34" s="479">
        <v>0</v>
      </c>
      <c r="F34" s="479">
        <v>0</v>
      </c>
      <c r="G34" s="479">
        <v>0</v>
      </c>
      <c r="H34" s="479">
        <v>0</v>
      </c>
      <c r="I34" s="479">
        <v>0</v>
      </c>
      <c r="J34" s="479">
        <v>0</v>
      </c>
      <c r="K34" s="479">
        <v>0</v>
      </c>
      <c r="L34" s="479">
        <v>0</v>
      </c>
      <c r="M34" s="479">
        <v>0</v>
      </c>
      <c r="N34" s="577">
        <f t="shared" ref="N34:N37" si="4">SUM(B34:M34)</f>
        <v>0</v>
      </c>
      <c r="O34" s="480">
        <f>0+N34</f>
        <v>0</v>
      </c>
      <c r="P34" s="474"/>
      <c r="Q34" s="475"/>
    </row>
    <row r="35" spans="1:17" s="278" customFormat="1" ht="13">
      <c r="A35" s="380" t="s">
        <v>140</v>
      </c>
      <c r="B35" s="481">
        <v>1375</v>
      </c>
      <c r="C35" s="481">
        <v>0</v>
      </c>
      <c r="D35" s="481">
        <v>13223.7</v>
      </c>
      <c r="E35" s="481">
        <v>1115.5099999999998</v>
      </c>
      <c r="F35" s="481">
        <v>0</v>
      </c>
      <c r="G35" s="481">
        <v>0</v>
      </c>
      <c r="H35" s="481">
        <v>0</v>
      </c>
      <c r="I35" s="481">
        <v>0</v>
      </c>
      <c r="J35" s="481">
        <v>0</v>
      </c>
      <c r="K35" s="481">
        <v>0</v>
      </c>
      <c r="L35" s="481">
        <v>0</v>
      </c>
      <c r="M35" s="481">
        <v>0</v>
      </c>
      <c r="N35" s="578">
        <f t="shared" si="4"/>
        <v>15714.210000000001</v>
      </c>
      <c r="O35" s="467">
        <f>344661+585375+472450+N35</f>
        <v>1418200.21</v>
      </c>
      <c r="P35" s="474"/>
      <c r="Q35" s="475"/>
    </row>
    <row r="36" spans="1:17" s="278" customFormat="1" ht="14.25" customHeight="1">
      <c r="A36" s="379" t="s">
        <v>141</v>
      </c>
      <c r="B36" s="481">
        <v>3942.05</v>
      </c>
      <c r="C36" s="481">
        <v>9833.75</v>
      </c>
      <c r="D36" s="481">
        <v>23203.510000000002</v>
      </c>
      <c r="E36" s="481">
        <v>12722.3</v>
      </c>
      <c r="F36" s="481">
        <v>0</v>
      </c>
      <c r="G36" s="481">
        <v>0</v>
      </c>
      <c r="H36" s="481">
        <v>0</v>
      </c>
      <c r="I36" s="481">
        <v>0</v>
      </c>
      <c r="J36" s="481">
        <v>0</v>
      </c>
      <c r="K36" s="481">
        <v>0</v>
      </c>
      <c r="L36" s="481">
        <v>0</v>
      </c>
      <c r="M36" s="481">
        <v>0</v>
      </c>
      <c r="N36" s="578">
        <f t="shared" si="4"/>
        <v>49701.61</v>
      </c>
      <c r="O36" s="467">
        <f>314336+384698+349337+N36</f>
        <v>1098072.6100000001</v>
      </c>
      <c r="P36" s="474"/>
      <c r="Q36" s="475"/>
    </row>
    <row r="37" spans="1:17" s="278" customFormat="1" ht="13">
      <c r="A37" s="379" t="s">
        <v>142</v>
      </c>
      <c r="B37" s="482">
        <v>9283.14</v>
      </c>
      <c r="C37" s="482">
        <v>21652.060000000005</v>
      </c>
      <c r="D37" s="482">
        <v>40568.949999999997</v>
      </c>
      <c r="E37" s="482">
        <v>13565.46</v>
      </c>
      <c r="F37" s="482">
        <v>0</v>
      </c>
      <c r="G37" s="482">
        <v>0</v>
      </c>
      <c r="H37" s="482">
        <v>0</v>
      </c>
      <c r="I37" s="482">
        <v>0</v>
      </c>
      <c r="J37" s="482">
        <v>0</v>
      </c>
      <c r="K37" s="482">
        <v>0</v>
      </c>
      <c r="L37" s="482">
        <v>0</v>
      </c>
      <c r="M37" s="482">
        <v>0</v>
      </c>
      <c r="N37" s="578">
        <f t="shared" si="4"/>
        <v>85069.609999999986</v>
      </c>
      <c r="O37" s="483">
        <f>556529+695730+620743+N37</f>
        <v>1958071.6099999999</v>
      </c>
      <c r="P37" s="474"/>
      <c r="Q37" s="475"/>
    </row>
    <row r="38" spans="1:17" s="278" customFormat="1" ht="15.5">
      <c r="A38" s="383" t="s">
        <v>143</v>
      </c>
      <c r="B38" s="484">
        <f t="shared" ref="B38:M38" si="5">SUM(B34:B37)</f>
        <v>14600.189999999999</v>
      </c>
      <c r="C38" s="485">
        <f t="shared" si="5"/>
        <v>31485.810000000005</v>
      </c>
      <c r="D38" s="485">
        <f>SUM(D34:D37)</f>
        <v>76996.160000000003</v>
      </c>
      <c r="E38" s="485">
        <f t="shared" si="5"/>
        <v>27403.269999999997</v>
      </c>
      <c r="F38" s="485">
        <f t="shared" si="5"/>
        <v>0</v>
      </c>
      <c r="G38" s="485">
        <f t="shared" si="5"/>
        <v>0</v>
      </c>
      <c r="H38" s="485">
        <f t="shared" si="5"/>
        <v>0</v>
      </c>
      <c r="I38" s="485">
        <f t="shared" si="5"/>
        <v>0</v>
      </c>
      <c r="J38" s="485">
        <f t="shared" si="5"/>
        <v>0</v>
      </c>
      <c r="K38" s="485">
        <f t="shared" si="5"/>
        <v>0</v>
      </c>
      <c r="L38" s="485">
        <f t="shared" si="5"/>
        <v>0</v>
      </c>
      <c r="M38" s="485">
        <f t="shared" si="5"/>
        <v>0</v>
      </c>
      <c r="N38" s="576">
        <f>SUM(N34:N37)</f>
        <v>150485.43</v>
      </c>
      <c r="O38" s="470">
        <f>SUM(O34:O37)</f>
        <v>4474344.43</v>
      </c>
      <c r="P38" s="472">
        <f>SUM(P34:P37)</f>
        <v>0</v>
      </c>
      <c r="Q38" s="486"/>
    </row>
    <row r="39" spans="1:17" s="278" customFormat="1" ht="13">
      <c r="B39" s="281"/>
      <c r="C39" s="281"/>
      <c r="D39" s="281"/>
      <c r="E39" s="281"/>
      <c r="F39" s="281"/>
      <c r="G39" s="281"/>
      <c r="H39" s="281"/>
      <c r="I39" s="281"/>
      <c r="J39" s="281"/>
      <c r="K39" s="281"/>
      <c r="L39" s="281"/>
      <c r="M39" s="281"/>
      <c r="O39" s="281"/>
      <c r="P39" s="281"/>
      <c r="Q39" s="281"/>
    </row>
    <row r="40" spans="1:17" s="278" customFormat="1" ht="14">
      <c r="A40" s="444" t="s">
        <v>63</v>
      </c>
      <c r="B40" s="285"/>
      <c r="C40" s="285"/>
      <c r="D40" s="285"/>
      <c r="E40" s="285"/>
      <c r="F40" s="285"/>
      <c r="G40" s="285"/>
      <c r="H40" s="285"/>
      <c r="I40" s="285"/>
      <c r="J40" s="285"/>
      <c r="K40" s="285"/>
      <c r="L40" s="285"/>
      <c r="M40" s="285"/>
      <c r="N40" s="284"/>
      <c r="O40" s="586"/>
      <c r="P40" s="285"/>
      <c r="Q40" s="285"/>
    </row>
    <row r="41" spans="1:17" s="548" customFormat="1" ht="16.5">
      <c r="A41" s="313" t="s">
        <v>284</v>
      </c>
      <c r="D41" s="549"/>
      <c r="E41" s="550"/>
      <c r="F41" s="549"/>
      <c r="N41" s="547"/>
    </row>
    <row r="42" spans="1:17" ht="16.5">
      <c r="A42" s="313" t="s">
        <v>287</v>
      </c>
      <c r="D42" s="262"/>
      <c r="E42" s="210"/>
      <c r="F42" s="262"/>
      <c r="N42" s="313"/>
    </row>
    <row r="43" spans="1:17" ht="16">
      <c r="A43" s="313" t="s">
        <v>315</v>
      </c>
      <c r="D43" s="262"/>
      <c r="E43" s="210"/>
      <c r="F43" s="262"/>
      <c r="N43" s="313"/>
    </row>
    <row r="44" spans="1:17" ht="16.5">
      <c r="A44" s="236" t="s">
        <v>64</v>
      </c>
      <c r="D44" s="262"/>
      <c r="E44" s="210"/>
      <c r="F44" s="262"/>
      <c r="N44" s="324"/>
    </row>
    <row r="45" spans="1:17">
      <c r="E45" s="267"/>
      <c r="F45" s="262"/>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V57"/>
  <sheetViews>
    <sheetView showGridLines="0" zoomScaleNormal="100" zoomScaleSheetLayoutView="80" workbookViewId="0">
      <pane xSplit="1" ySplit="9" topLeftCell="B10" activePane="bottomRight" state="frozen"/>
      <selection activeCell="A52" sqref="A52:O52"/>
      <selection pane="topRight" activeCell="A52" sqref="A52:O52"/>
      <selection pane="bottomLeft" activeCell="A52" sqref="A52:O52"/>
      <selection pane="bottomRight" activeCell="A55" sqref="A55"/>
    </sheetView>
  </sheetViews>
  <sheetFormatPr defaultColWidth="9.26953125" defaultRowHeight="12.5"/>
  <cols>
    <col min="1" max="1" width="95.26953125" style="130" customWidth="1"/>
    <col min="2" max="2" width="13" style="130" customWidth="1"/>
    <col min="3" max="3" width="11.36328125" style="130" customWidth="1"/>
    <col min="4" max="4" width="15.6328125" style="130" customWidth="1"/>
    <col min="5" max="5" width="12" style="130" customWidth="1"/>
    <col min="6" max="6" width="11.26953125" style="130" bestFit="1" customWidth="1"/>
    <col min="7" max="7" width="12.7265625" style="130" customWidth="1"/>
    <col min="8" max="8" width="11.7265625" style="130" bestFit="1" customWidth="1"/>
    <col min="9" max="9" width="11.7265625" style="130" customWidth="1"/>
    <col min="10" max="10" width="12" style="130" customWidth="1"/>
    <col min="11" max="11" width="10.7265625" style="130" customWidth="1"/>
    <col min="12" max="13" width="11.7265625" style="130" customWidth="1"/>
    <col min="14" max="14" width="23.26953125" style="130" bestFit="1" customWidth="1"/>
    <col min="15" max="15" width="16" style="551" customWidth="1"/>
    <col min="16" max="16" width="17.26953125" style="130" customWidth="1"/>
    <col min="17" max="17" width="14.7265625" style="130" customWidth="1"/>
    <col min="18" max="18" width="13.36328125" style="130" bestFit="1" customWidth="1"/>
    <col min="19" max="19" width="19.6328125" style="130" bestFit="1" customWidth="1"/>
    <col min="20" max="20" width="9.26953125" style="130"/>
    <col min="21" max="21" width="8.6328125" style="130" bestFit="1" customWidth="1"/>
    <col min="22" max="22" width="12.6328125" style="130" customWidth="1"/>
    <col min="23" max="16384" width="9.26953125" style="130"/>
  </cols>
  <sheetData>
    <row r="2" spans="1:22" ht="13">
      <c r="A2" s="129"/>
      <c r="G2" s="148" t="s">
        <v>144</v>
      </c>
    </row>
    <row r="3" spans="1:22" ht="13">
      <c r="A3" s="129"/>
      <c r="G3" s="148" t="s">
        <v>145</v>
      </c>
    </row>
    <row r="4" spans="1:22" ht="13">
      <c r="A4" s="129"/>
      <c r="F4" s="197"/>
      <c r="G4" s="198" t="str">
        <f>'Program MW '!H3</f>
        <v>April 2021</v>
      </c>
      <c r="H4" s="197"/>
      <c r="I4" s="197"/>
    </row>
    <row r="5" spans="1:22" ht="13">
      <c r="A5" s="129"/>
      <c r="B5" s="197"/>
      <c r="C5" s="197"/>
      <c r="D5" s="197"/>
    </row>
    <row r="6" spans="1:22" ht="13" thickBot="1"/>
    <row r="7" spans="1:22" ht="13">
      <c r="A7" s="297"/>
      <c r="B7" s="131"/>
      <c r="C7" s="131"/>
      <c r="D7" s="131"/>
      <c r="E7" s="131"/>
      <c r="F7" s="131"/>
      <c r="G7" s="131"/>
      <c r="H7" s="131"/>
      <c r="I7" s="131"/>
      <c r="J7" s="131"/>
      <c r="K7" s="131"/>
      <c r="L7" s="131"/>
      <c r="M7" s="132"/>
      <c r="N7" s="132"/>
      <c r="O7" s="552"/>
      <c r="P7" s="133"/>
      <c r="Q7" s="133"/>
      <c r="R7" s="291"/>
    </row>
    <row r="8" spans="1:22" ht="9" customHeight="1">
      <c r="A8" s="298"/>
      <c r="B8" s="134"/>
      <c r="C8" s="134"/>
      <c r="D8" s="134"/>
      <c r="E8" s="134"/>
      <c r="F8" s="134"/>
      <c r="G8" s="134"/>
      <c r="H8" s="134"/>
      <c r="I8" s="134"/>
      <c r="J8" s="134"/>
      <c r="K8" s="134"/>
      <c r="L8" s="134"/>
      <c r="M8" s="135"/>
      <c r="N8" s="135"/>
      <c r="O8" s="553"/>
      <c r="P8" s="136"/>
      <c r="Q8" s="136"/>
      <c r="R8" s="292"/>
    </row>
    <row r="9" spans="1:22" ht="57.75" customHeight="1">
      <c r="A9" s="363" t="s">
        <v>146</v>
      </c>
      <c r="B9" s="371" t="s">
        <v>41</v>
      </c>
      <c r="C9" s="260" t="s">
        <v>42</v>
      </c>
      <c r="D9" s="260" t="s">
        <v>43</v>
      </c>
      <c r="E9" s="260" t="s">
        <v>44</v>
      </c>
      <c r="F9" s="260" t="s">
        <v>31</v>
      </c>
      <c r="G9" s="260" t="s">
        <v>45</v>
      </c>
      <c r="H9" s="260" t="s">
        <v>59</v>
      </c>
      <c r="I9" s="261" t="s">
        <v>60</v>
      </c>
      <c r="J9" s="261" t="s">
        <v>67</v>
      </c>
      <c r="K9" s="260" t="s">
        <v>61</v>
      </c>
      <c r="L9" s="260" t="s">
        <v>68</v>
      </c>
      <c r="M9" s="260" t="s">
        <v>62</v>
      </c>
      <c r="N9" s="137" t="s">
        <v>246</v>
      </c>
      <c r="O9" s="554" t="s">
        <v>247</v>
      </c>
      <c r="P9" s="137" t="s">
        <v>147</v>
      </c>
      <c r="Q9" s="137" t="s">
        <v>148</v>
      </c>
      <c r="R9" s="137" t="s">
        <v>149</v>
      </c>
    </row>
    <row r="10" spans="1:22" ht="13">
      <c r="A10" s="299" t="s">
        <v>150</v>
      </c>
      <c r="B10" s="372"/>
      <c r="C10" s="15"/>
      <c r="D10" s="15"/>
      <c r="E10" s="15"/>
      <c r="F10" s="138"/>
      <c r="G10" s="257"/>
      <c r="H10" s="138"/>
      <c r="I10" s="138"/>
      <c r="J10" s="138"/>
      <c r="K10" s="138"/>
      <c r="L10" s="138"/>
      <c r="M10" s="568"/>
      <c r="N10" s="570"/>
      <c r="O10" s="555" t="s">
        <v>56</v>
      </c>
      <c r="P10" s="311"/>
      <c r="Q10" s="139"/>
      <c r="R10" s="139"/>
    </row>
    <row r="11" spans="1:22">
      <c r="A11" s="300" t="s">
        <v>151</v>
      </c>
      <c r="B11" s="646">
        <v>130414</v>
      </c>
      <c r="C11" s="646">
        <v>8363.77</v>
      </c>
      <c r="D11" s="646">
        <v>10848.269999999999</v>
      </c>
      <c r="E11" s="646">
        <f>160254-SUM(B11:D11)</f>
        <v>10627.960000000021</v>
      </c>
      <c r="F11" s="646">
        <v>0</v>
      </c>
      <c r="G11" s="646">
        <v>0</v>
      </c>
      <c r="H11" s="646">
        <v>0</v>
      </c>
      <c r="I11" s="646">
        <v>0</v>
      </c>
      <c r="J11" s="646">
        <v>0</v>
      </c>
      <c r="K11" s="646">
        <v>0</v>
      </c>
      <c r="L11" s="646">
        <v>0</v>
      </c>
      <c r="M11" s="646">
        <v>0</v>
      </c>
      <c r="N11" s="707">
        <f>SUM(B11:M11)</f>
        <v>160254</v>
      </c>
      <c r="O11" s="648">
        <f>911161+N11</f>
        <v>1071415</v>
      </c>
      <c r="P11" s="649">
        <v>2869200</v>
      </c>
      <c r="Q11" s="647">
        <v>0</v>
      </c>
      <c r="R11" s="571">
        <f>+O11/P11</f>
        <v>0.37341942004739997</v>
      </c>
      <c r="S11" s="599"/>
      <c r="T11" s="600"/>
      <c r="U11" s="600"/>
      <c r="V11" s="601"/>
    </row>
    <row r="12" spans="1:22">
      <c r="A12" s="300" t="s">
        <v>152</v>
      </c>
      <c r="B12" s="646">
        <v>44397</v>
      </c>
      <c r="C12" s="646">
        <v>11855</v>
      </c>
      <c r="D12" s="646">
        <f>132690-C12-B12</f>
        <v>76438</v>
      </c>
      <c r="E12" s="646">
        <f>178067-SUM(B12:D12)</f>
        <v>45377</v>
      </c>
      <c r="F12" s="646">
        <v>0</v>
      </c>
      <c r="G12" s="646">
        <v>0</v>
      </c>
      <c r="H12" s="646">
        <v>0</v>
      </c>
      <c r="I12" s="646">
        <v>0</v>
      </c>
      <c r="J12" s="646">
        <v>0</v>
      </c>
      <c r="K12" s="646">
        <v>0</v>
      </c>
      <c r="L12" s="646">
        <v>0</v>
      </c>
      <c r="M12" s="646">
        <v>0</v>
      </c>
      <c r="N12" s="707">
        <f t="shared" ref="N12:N15" si="0">SUM(B12:M12)</f>
        <v>178067</v>
      </c>
      <c r="O12" s="648">
        <f>4136392+N12</f>
        <v>4314459</v>
      </c>
      <c r="P12" s="649">
        <v>9020700</v>
      </c>
      <c r="Q12" s="647">
        <v>0</v>
      </c>
      <c r="R12" s="571">
        <f t="shared" ref="R12:R15" si="1">+O12/P12</f>
        <v>0.47828427949050517</v>
      </c>
      <c r="S12" s="599"/>
      <c r="T12" s="600"/>
      <c r="U12" s="600"/>
      <c r="V12" s="601"/>
    </row>
    <row r="13" spans="1:22" ht="15">
      <c r="A13" s="300" t="s">
        <v>310</v>
      </c>
      <c r="B13" s="646">
        <v>23503</v>
      </c>
      <c r="C13" s="646">
        <v>5442.8100000000013</v>
      </c>
      <c r="D13" s="646">
        <f>54213-C13-B13</f>
        <v>25267.190000000002</v>
      </c>
      <c r="E13" s="646">
        <f>60908-SUM(B13:D13)</f>
        <v>6695</v>
      </c>
      <c r="F13" s="646">
        <v>0</v>
      </c>
      <c r="G13" s="646">
        <v>0</v>
      </c>
      <c r="H13" s="646">
        <v>0</v>
      </c>
      <c r="I13" s="646">
        <v>0</v>
      </c>
      <c r="J13" s="646">
        <v>0</v>
      </c>
      <c r="K13" s="646">
        <v>0</v>
      </c>
      <c r="L13" s="646">
        <v>0</v>
      </c>
      <c r="M13" s="646">
        <v>0</v>
      </c>
      <c r="N13" s="707">
        <f t="shared" si="0"/>
        <v>60908</v>
      </c>
      <c r="O13" s="648">
        <f>534815+N13</f>
        <v>595723</v>
      </c>
      <c r="P13" s="649">
        <v>4664400</v>
      </c>
      <c r="Q13" s="647">
        <v>0</v>
      </c>
      <c r="R13" s="571">
        <f t="shared" si="1"/>
        <v>0.12771696252465484</v>
      </c>
      <c r="S13" s="599"/>
      <c r="T13" s="600"/>
      <c r="U13" s="600"/>
      <c r="V13" s="601"/>
    </row>
    <row r="14" spans="1:22">
      <c r="A14" s="300" t="s">
        <v>198</v>
      </c>
      <c r="B14" s="646">
        <v>6528</v>
      </c>
      <c r="C14" s="646">
        <v>9156.0499999999993</v>
      </c>
      <c r="D14" s="646">
        <f>25223-C14-B14</f>
        <v>9538.9500000000007</v>
      </c>
      <c r="E14" s="646">
        <f>46134-SUM(B14:D14)</f>
        <v>20911</v>
      </c>
      <c r="F14" s="646">
        <v>0</v>
      </c>
      <c r="G14" s="646">
        <v>0</v>
      </c>
      <c r="H14" s="646">
        <v>0</v>
      </c>
      <c r="I14" s="646">
        <v>0</v>
      </c>
      <c r="J14" s="646">
        <v>0</v>
      </c>
      <c r="K14" s="646">
        <v>0</v>
      </c>
      <c r="L14" s="646">
        <v>0</v>
      </c>
      <c r="M14" s="646">
        <v>0</v>
      </c>
      <c r="N14" s="647">
        <f t="shared" si="0"/>
        <v>46134</v>
      </c>
      <c r="O14" s="648">
        <f>928210+N14</f>
        <v>974344</v>
      </c>
      <c r="P14" s="647">
        <v>10301202</v>
      </c>
      <c r="Q14" s="647">
        <v>0</v>
      </c>
      <c r="R14" s="571">
        <f t="shared" si="1"/>
        <v>9.4585466822221326E-2</v>
      </c>
      <c r="S14" s="599"/>
      <c r="T14" s="600"/>
      <c r="U14" s="600"/>
      <c r="V14" s="601"/>
    </row>
    <row r="15" spans="1:22" ht="14.5">
      <c r="A15" s="301" t="s">
        <v>153</v>
      </c>
      <c r="B15" s="650">
        <v>0</v>
      </c>
      <c r="C15" s="650">
        <v>0</v>
      </c>
      <c r="D15" s="650">
        <v>0</v>
      </c>
      <c r="E15" s="650">
        <v>0</v>
      </c>
      <c r="F15" s="650">
        <v>0</v>
      </c>
      <c r="G15" s="650">
        <v>0</v>
      </c>
      <c r="H15" s="650">
        <v>0</v>
      </c>
      <c r="I15" s="650">
        <v>0</v>
      </c>
      <c r="J15" s="650">
        <v>0</v>
      </c>
      <c r="K15" s="650">
        <v>0</v>
      </c>
      <c r="L15" s="650">
        <v>0</v>
      </c>
      <c r="M15" s="650">
        <v>0</v>
      </c>
      <c r="N15" s="647">
        <f t="shared" si="0"/>
        <v>0</v>
      </c>
      <c r="O15" s="648">
        <f>15326+N15</f>
        <v>15326</v>
      </c>
      <c r="P15" s="649">
        <v>20000</v>
      </c>
      <c r="Q15" s="647">
        <v>0</v>
      </c>
      <c r="R15" s="571">
        <f t="shared" si="1"/>
        <v>0.76629999999999998</v>
      </c>
      <c r="S15" s="599"/>
      <c r="T15" s="600"/>
      <c r="U15" s="600"/>
      <c r="V15" s="601"/>
    </row>
    <row r="16" spans="1:22" ht="13">
      <c r="A16" s="302" t="s">
        <v>154</v>
      </c>
      <c r="B16" s="650">
        <f>SUM(B11:B15)</f>
        <v>204842</v>
      </c>
      <c r="C16" s="651">
        <f t="shared" ref="C16:M16" si="2">SUM(C11:C15)</f>
        <v>34817.630000000005</v>
      </c>
      <c r="D16" s="651">
        <f t="shared" si="2"/>
        <v>122092.41</v>
      </c>
      <c r="E16" s="651">
        <f t="shared" si="2"/>
        <v>83610.960000000021</v>
      </c>
      <c r="F16" s="651">
        <f t="shared" si="2"/>
        <v>0</v>
      </c>
      <c r="G16" s="651">
        <f t="shared" si="2"/>
        <v>0</v>
      </c>
      <c r="H16" s="651">
        <f t="shared" si="2"/>
        <v>0</v>
      </c>
      <c r="I16" s="651">
        <f t="shared" si="2"/>
        <v>0</v>
      </c>
      <c r="J16" s="651">
        <f t="shared" si="2"/>
        <v>0</v>
      </c>
      <c r="K16" s="651">
        <f>SUM(K11:K15)</f>
        <v>0</v>
      </c>
      <c r="L16" s="651">
        <f t="shared" si="2"/>
        <v>0</v>
      </c>
      <c r="M16" s="651">
        <f t="shared" si="2"/>
        <v>0</v>
      </c>
      <c r="N16" s="652">
        <f>SUM(N11:N15)</f>
        <v>445363</v>
      </c>
      <c r="O16" s="653">
        <f>SUM(O11:O15)</f>
        <v>6971267</v>
      </c>
      <c r="P16" s="654">
        <f>SUM(P11:P15)</f>
        <v>26875502</v>
      </c>
      <c r="Q16" s="655">
        <f>SUM(Q11:Q15)</f>
        <v>0</v>
      </c>
      <c r="R16" s="572">
        <f>O16/P16</f>
        <v>0.25939113621021853</v>
      </c>
      <c r="S16" s="599"/>
      <c r="T16" s="600"/>
      <c r="U16" s="600"/>
      <c r="V16" s="601"/>
    </row>
    <row r="17" spans="1:22">
      <c r="A17" s="301"/>
      <c r="B17" s="646"/>
      <c r="C17" s="656"/>
      <c r="D17" s="656"/>
      <c r="E17" s="656"/>
      <c r="F17" s="657"/>
      <c r="G17" s="656"/>
      <c r="H17" s="657"/>
      <c r="I17" s="657"/>
      <c r="J17" s="657"/>
      <c r="K17" s="657"/>
      <c r="L17" s="657"/>
      <c r="M17" s="657"/>
      <c r="N17" s="647"/>
      <c r="O17" s="658"/>
      <c r="P17" s="649"/>
      <c r="Q17" s="647"/>
      <c r="R17" s="571"/>
      <c r="S17" s="599"/>
      <c r="T17" s="600"/>
      <c r="U17" s="600"/>
      <c r="V17" s="601"/>
    </row>
    <row r="18" spans="1:22" ht="13">
      <c r="A18" s="299" t="s">
        <v>155</v>
      </c>
      <c r="B18" s="646"/>
      <c r="C18" s="656"/>
      <c r="D18" s="656"/>
      <c r="E18" s="656"/>
      <c r="F18" s="657"/>
      <c r="G18" s="656"/>
      <c r="H18" s="657"/>
      <c r="I18" s="657"/>
      <c r="J18" s="657"/>
      <c r="K18" s="657"/>
      <c r="L18" s="657"/>
      <c r="M18" s="657"/>
      <c r="N18" s="647"/>
      <c r="O18" s="658"/>
      <c r="P18" s="649"/>
      <c r="Q18" s="647"/>
      <c r="R18" s="571"/>
      <c r="S18" s="599"/>
      <c r="T18" s="600"/>
      <c r="U18" s="600"/>
      <c r="V18" s="601"/>
    </row>
    <row r="19" spans="1:22">
      <c r="A19" s="300"/>
      <c r="B19" s="646">
        <v>0</v>
      </c>
      <c r="C19" s="656">
        <v>0</v>
      </c>
      <c r="D19" s="656">
        <v>0</v>
      </c>
      <c r="E19" s="656">
        <v>0</v>
      </c>
      <c r="F19" s="656">
        <v>0</v>
      </c>
      <c r="G19" s="656">
        <v>0</v>
      </c>
      <c r="H19" s="656">
        <v>0</v>
      </c>
      <c r="I19" s="656">
        <v>0</v>
      </c>
      <c r="J19" s="656">
        <v>0</v>
      </c>
      <c r="K19" s="656">
        <v>0</v>
      </c>
      <c r="L19" s="656">
        <v>0</v>
      </c>
      <c r="M19" s="656">
        <v>0</v>
      </c>
      <c r="N19" s="647">
        <f>SUM(B19:M19)</f>
        <v>0</v>
      </c>
      <c r="O19" s="648">
        <f>0+N19</f>
        <v>0</v>
      </c>
      <c r="P19" s="649">
        <v>0</v>
      </c>
      <c r="Q19" s="647">
        <v>0</v>
      </c>
      <c r="R19" s="571">
        <v>0</v>
      </c>
      <c r="S19" s="599"/>
      <c r="T19" s="600"/>
      <c r="U19" s="600"/>
      <c r="V19" s="601"/>
    </row>
    <row r="20" spans="1:22" ht="13">
      <c r="A20" s="302" t="s">
        <v>156</v>
      </c>
      <c r="B20" s="652">
        <f t="shared" ref="B20:M20" si="3">SUM(B19:B19)</f>
        <v>0</v>
      </c>
      <c r="C20" s="659">
        <f t="shared" si="3"/>
        <v>0</v>
      </c>
      <c r="D20" s="659">
        <f t="shared" si="3"/>
        <v>0</v>
      </c>
      <c r="E20" s="659">
        <f t="shared" si="3"/>
        <v>0</v>
      </c>
      <c r="F20" s="659">
        <f t="shared" si="3"/>
        <v>0</v>
      </c>
      <c r="G20" s="659">
        <f t="shared" si="3"/>
        <v>0</v>
      </c>
      <c r="H20" s="659">
        <f t="shared" si="3"/>
        <v>0</v>
      </c>
      <c r="I20" s="659">
        <f t="shared" si="3"/>
        <v>0</v>
      </c>
      <c r="J20" s="659">
        <f t="shared" si="3"/>
        <v>0</v>
      </c>
      <c r="K20" s="659">
        <f t="shared" si="3"/>
        <v>0</v>
      </c>
      <c r="L20" s="659">
        <f t="shared" si="3"/>
        <v>0</v>
      </c>
      <c r="M20" s="659">
        <f t="shared" si="3"/>
        <v>0</v>
      </c>
      <c r="N20" s="655">
        <f>SUM(N19:N19)</f>
        <v>0</v>
      </c>
      <c r="O20" s="660">
        <f>SUM(O19:O19)</f>
        <v>0</v>
      </c>
      <c r="P20" s="654">
        <f>SUM(P19:P19)</f>
        <v>0</v>
      </c>
      <c r="Q20" s="655">
        <f>SUM(Q19:Q19)</f>
        <v>0</v>
      </c>
      <c r="R20" s="573">
        <v>0</v>
      </c>
      <c r="S20" s="599"/>
      <c r="T20" s="600"/>
      <c r="U20" s="600"/>
      <c r="V20" s="601"/>
    </row>
    <row r="21" spans="1:22" ht="13">
      <c r="A21" s="303"/>
      <c r="B21" s="646"/>
      <c r="C21" s="656"/>
      <c r="D21" s="656"/>
      <c r="E21" s="656"/>
      <c r="F21" s="656"/>
      <c r="G21" s="656"/>
      <c r="H21" s="656"/>
      <c r="I21" s="656"/>
      <c r="J21" s="656"/>
      <c r="K21" s="656"/>
      <c r="L21" s="656"/>
      <c r="M21" s="656"/>
      <c r="N21" s="647"/>
      <c r="O21" s="658"/>
      <c r="P21" s="649"/>
      <c r="Q21" s="647"/>
      <c r="R21" s="574"/>
      <c r="S21" s="599"/>
      <c r="T21" s="600"/>
      <c r="U21" s="600"/>
      <c r="V21" s="601"/>
    </row>
    <row r="22" spans="1:22" ht="13">
      <c r="A22" s="299" t="s">
        <v>157</v>
      </c>
      <c r="B22" s="646"/>
      <c r="C22" s="656"/>
      <c r="D22" s="656"/>
      <c r="E22" s="656"/>
      <c r="F22" s="657"/>
      <c r="G22" s="656"/>
      <c r="H22" s="657"/>
      <c r="I22" s="657"/>
      <c r="J22" s="657"/>
      <c r="K22" s="657"/>
      <c r="L22" s="657"/>
      <c r="M22" s="657"/>
      <c r="N22" s="647"/>
      <c r="O22" s="658"/>
      <c r="P22" s="649"/>
      <c r="Q22" s="647"/>
      <c r="R22" s="571"/>
      <c r="S22" s="599"/>
      <c r="T22" s="600"/>
      <c r="U22" s="600"/>
      <c r="V22" s="601"/>
    </row>
    <row r="23" spans="1:22">
      <c r="A23" s="300" t="s">
        <v>269</v>
      </c>
      <c r="B23" s="650">
        <v>96846</v>
      </c>
      <c r="C23" s="650">
        <v>105481.90000000002</v>
      </c>
      <c r="D23" s="650">
        <f>469825-C23-B23</f>
        <v>267497.09999999998</v>
      </c>
      <c r="E23" s="650">
        <f>493182-SUM(B23:D23)</f>
        <v>23357</v>
      </c>
      <c r="F23" s="650">
        <v>0</v>
      </c>
      <c r="G23" s="650">
        <v>0</v>
      </c>
      <c r="H23" s="650">
        <v>0</v>
      </c>
      <c r="I23" s="650">
        <v>0</v>
      </c>
      <c r="J23" s="650">
        <v>0</v>
      </c>
      <c r="K23" s="650">
        <v>0</v>
      </c>
      <c r="L23" s="650">
        <v>0</v>
      </c>
      <c r="M23" s="650">
        <v>0</v>
      </c>
      <c r="N23" s="647">
        <f>SUM(B23:M23)</f>
        <v>493182</v>
      </c>
      <c r="O23" s="648">
        <f>3846745+N23</f>
        <v>4339927</v>
      </c>
      <c r="P23" s="649">
        <v>8320000</v>
      </c>
      <c r="Q23" s="647">
        <v>0</v>
      </c>
      <c r="R23" s="571">
        <f t="shared" ref="R23" si="4">+O23/P23</f>
        <v>0.52162584134615386</v>
      </c>
      <c r="S23" s="599"/>
      <c r="T23" s="600"/>
      <c r="U23" s="600"/>
      <c r="V23" s="601"/>
    </row>
    <row r="24" spans="1:22" ht="13">
      <c r="A24" s="302" t="s">
        <v>158</v>
      </c>
      <c r="B24" s="650">
        <f t="shared" ref="B24:M24" si="5">SUM(B23:B23)</f>
        <v>96846</v>
      </c>
      <c r="C24" s="651">
        <f t="shared" si="5"/>
        <v>105481.90000000002</v>
      </c>
      <c r="D24" s="651">
        <f t="shared" si="5"/>
        <v>267497.09999999998</v>
      </c>
      <c r="E24" s="651">
        <f t="shared" si="5"/>
        <v>23357</v>
      </c>
      <c r="F24" s="651">
        <f t="shared" si="5"/>
        <v>0</v>
      </c>
      <c r="G24" s="651">
        <f t="shared" si="5"/>
        <v>0</v>
      </c>
      <c r="H24" s="651">
        <f t="shared" si="5"/>
        <v>0</v>
      </c>
      <c r="I24" s="651">
        <f t="shared" si="5"/>
        <v>0</v>
      </c>
      <c r="J24" s="651">
        <f t="shared" si="5"/>
        <v>0</v>
      </c>
      <c r="K24" s="651">
        <f t="shared" si="5"/>
        <v>0</v>
      </c>
      <c r="L24" s="651">
        <f t="shared" si="5"/>
        <v>0</v>
      </c>
      <c r="M24" s="651">
        <f t="shared" si="5"/>
        <v>0</v>
      </c>
      <c r="N24" s="655">
        <f>SUM(N23:N23)</f>
        <v>493182</v>
      </c>
      <c r="O24" s="660">
        <f>O23</f>
        <v>4339927</v>
      </c>
      <c r="P24" s="654">
        <f>SUM(P23:P23)</f>
        <v>8320000</v>
      </c>
      <c r="Q24" s="655">
        <f>SUM(Q23:Q23)</f>
        <v>0</v>
      </c>
      <c r="R24" s="573">
        <f>O24/P24</f>
        <v>0.52162584134615386</v>
      </c>
      <c r="S24" s="599"/>
      <c r="T24" s="600"/>
      <c r="U24" s="600"/>
      <c r="V24" s="601"/>
    </row>
    <row r="25" spans="1:22" ht="13">
      <c r="A25" s="299"/>
      <c r="B25" s="646"/>
      <c r="C25" s="656"/>
      <c r="D25" s="656"/>
      <c r="E25" s="656"/>
      <c r="F25" s="657"/>
      <c r="G25" s="656"/>
      <c r="H25" s="657"/>
      <c r="I25" s="657"/>
      <c r="J25" s="657"/>
      <c r="K25" s="657"/>
      <c r="L25" s="657"/>
      <c r="M25" s="657"/>
      <c r="N25" s="647"/>
      <c r="O25" s="658"/>
      <c r="P25" s="649"/>
      <c r="Q25" s="647"/>
      <c r="R25" s="571"/>
      <c r="S25" s="599"/>
      <c r="T25" s="600"/>
      <c r="U25" s="600"/>
      <c r="V25" s="601"/>
    </row>
    <row r="26" spans="1:22" ht="13">
      <c r="A26" s="299" t="s">
        <v>159</v>
      </c>
      <c r="B26" s="646"/>
      <c r="C26" s="656"/>
      <c r="D26" s="656"/>
      <c r="E26" s="656"/>
      <c r="F26" s="657"/>
      <c r="G26" s="656"/>
      <c r="H26" s="657"/>
      <c r="I26" s="657"/>
      <c r="J26" s="657"/>
      <c r="K26" s="657"/>
      <c r="L26" s="657"/>
      <c r="M26" s="657"/>
      <c r="N26" s="647"/>
      <c r="O26" s="658"/>
      <c r="P26" s="649"/>
      <c r="Q26" s="647"/>
      <c r="R26" s="571"/>
      <c r="S26" s="599"/>
      <c r="T26" s="600"/>
      <c r="U26" s="600"/>
      <c r="V26" s="601"/>
    </row>
    <row r="27" spans="1:22">
      <c r="A27" s="300" t="s">
        <v>160</v>
      </c>
      <c r="B27" s="661">
        <v>22999</v>
      </c>
      <c r="C27" s="661">
        <v>17649.560000000001</v>
      </c>
      <c r="D27" s="661">
        <v>50080.86</v>
      </c>
      <c r="E27" s="661">
        <v>21034.569999999996</v>
      </c>
      <c r="F27" s="661">
        <v>0</v>
      </c>
      <c r="G27" s="661">
        <v>0</v>
      </c>
      <c r="H27" s="661">
        <v>0</v>
      </c>
      <c r="I27" s="661">
        <v>0</v>
      </c>
      <c r="J27" s="661">
        <v>0</v>
      </c>
      <c r="K27" s="661">
        <v>0</v>
      </c>
      <c r="L27" s="661">
        <v>0</v>
      </c>
      <c r="M27" s="661">
        <v>0</v>
      </c>
      <c r="N27" s="647">
        <f>SUM(B27:M27)</f>
        <v>111763.98999999999</v>
      </c>
      <c r="O27" s="648">
        <f>1326267+N27</f>
        <v>1438030.99</v>
      </c>
      <c r="P27" s="649">
        <v>3483000</v>
      </c>
      <c r="Q27" s="647">
        <v>0</v>
      </c>
      <c r="R27" s="571">
        <f t="shared" ref="R27:R29" si="6">+O27/P27</f>
        <v>0.41287137238013205</v>
      </c>
      <c r="S27" s="599"/>
      <c r="T27" s="600"/>
      <c r="U27" s="600"/>
      <c r="V27" s="601"/>
    </row>
    <row r="28" spans="1:22">
      <c r="A28" s="300" t="s">
        <v>161</v>
      </c>
      <c r="B28" s="646">
        <v>29511</v>
      </c>
      <c r="C28" s="646">
        <v>26532.59</v>
      </c>
      <c r="D28" s="646">
        <v>28340.68</v>
      </c>
      <c r="E28" s="646">
        <f>124759-SUM(B28:D28)</f>
        <v>40374.73000000001</v>
      </c>
      <c r="F28" s="646">
        <v>0</v>
      </c>
      <c r="G28" s="646">
        <v>0</v>
      </c>
      <c r="H28" s="646">
        <v>0</v>
      </c>
      <c r="I28" s="646">
        <v>0</v>
      </c>
      <c r="J28" s="646">
        <v>0</v>
      </c>
      <c r="K28" s="646">
        <v>0</v>
      </c>
      <c r="L28" s="646">
        <v>0</v>
      </c>
      <c r="M28" s="646">
        <v>0</v>
      </c>
      <c r="N28" s="647">
        <f>SUM(B28:M28)</f>
        <v>124759</v>
      </c>
      <c r="O28" s="648">
        <f>1608647+N28</f>
        <v>1733406</v>
      </c>
      <c r="P28" s="649">
        <v>3794000</v>
      </c>
      <c r="Q28" s="647">
        <v>0</v>
      </c>
      <c r="R28" s="571">
        <f t="shared" si="6"/>
        <v>0.45688086452293092</v>
      </c>
      <c r="S28" s="599"/>
      <c r="T28" s="600"/>
      <c r="U28" s="600"/>
      <c r="V28" s="601"/>
    </row>
    <row r="29" spans="1:22">
      <c r="A29" s="304" t="s">
        <v>162</v>
      </c>
      <c r="B29" s="650">
        <v>7417</v>
      </c>
      <c r="C29" s="650">
        <v>9018.130000000001</v>
      </c>
      <c r="D29" s="650">
        <v>10205.700000000001</v>
      </c>
      <c r="E29" s="650">
        <f>51904-SUM(B29:D29)</f>
        <v>25263.17</v>
      </c>
      <c r="F29" s="650">
        <v>0</v>
      </c>
      <c r="G29" s="650">
        <v>0</v>
      </c>
      <c r="H29" s="650">
        <v>0</v>
      </c>
      <c r="I29" s="650">
        <v>0</v>
      </c>
      <c r="J29" s="650">
        <v>0</v>
      </c>
      <c r="K29" s="650">
        <v>0</v>
      </c>
      <c r="L29" s="650">
        <v>0</v>
      </c>
      <c r="M29" s="650">
        <v>0</v>
      </c>
      <c r="N29" s="647">
        <f>SUM(B29:M29)</f>
        <v>51904</v>
      </c>
      <c r="O29" s="648">
        <f>968425+N29</f>
        <v>1020329</v>
      </c>
      <c r="P29" s="647">
        <v>11267000</v>
      </c>
      <c r="Q29" s="647">
        <v>0</v>
      </c>
      <c r="R29" s="571">
        <f t="shared" si="6"/>
        <v>9.0559066299813612E-2</v>
      </c>
      <c r="S29" s="599"/>
      <c r="T29" s="600"/>
      <c r="U29" s="600"/>
      <c r="V29" s="601"/>
    </row>
    <row r="30" spans="1:22" ht="13">
      <c r="A30" s="302" t="s">
        <v>163</v>
      </c>
      <c r="B30" s="650">
        <f t="shared" ref="B30:I30" si="7">SUM(B27:B29)</f>
        <v>59927</v>
      </c>
      <c r="C30" s="651">
        <f t="shared" si="7"/>
        <v>53200.28</v>
      </c>
      <c r="D30" s="651">
        <f t="shared" si="7"/>
        <v>88627.24</v>
      </c>
      <c r="E30" s="651">
        <f>SUM(E27:E29)</f>
        <v>86672.47</v>
      </c>
      <c r="F30" s="662">
        <f t="shared" si="7"/>
        <v>0</v>
      </c>
      <c r="G30" s="651">
        <f t="shared" si="7"/>
        <v>0</v>
      </c>
      <c r="H30" s="662">
        <f t="shared" si="7"/>
        <v>0</v>
      </c>
      <c r="I30" s="662">
        <f t="shared" si="7"/>
        <v>0</v>
      </c>
      <c r="J30" s="662">
        <f>SUM(J27:J29)</f>
        <v>0</v>
      </c>
      <c r="K30" s="662">
        <f>SUM(K27:K29)</f>
        <v>0</v>
      </c>
      <c r="L30" s="662">
        <f>SUM(L27:L29)</f>
        <v>0</v>
      </c>
      <c r="M30" s="662">
        <f t="shared" ref="M30:Q30" si="8">SUM(M27:M29)</f>
        <v>0</v>
      </c>
      <c r="N30" s="655">
        <f t="shared" si="8"/>
        <v>288426.99</v>
      </c>
      <c r="O30" s="660">
        <f t="shared" si="8"/>
        <v>4191765.99</v>
      </c>
      <c r="P30" s="654">
        <f>SUM(P27:P29)</f>
        <v>18544000</v>
      </c>
      <c r="Q30" s="655">
        <f t="shared" si="8"/>
        <v>0</v>
      </c>
      <c r="R30" s="573">
        <f>O30/P30</f>
        <v>0.22604432646678171</v>
      </c>
      <c r="S30" s="599"/>
      <c r="T30" s="600"/>
      <c r="U30" s="600"/>
      <c r="V30" s="601"/>
    </row>
    <row r="31" spans="1:22">
      <c r="A31" s="300"/>
      <c r="B31" s="646"/>
      <c r="C31" s="656"/>
      <c r="D31" s="656"/>
      <c r="E31" s="656"/>
      <c r="F31" s="657"/>
      <c r="G31" s="656"/>
      <c r="H31" s="657"/>
      <c r="I31" s="657"/>
      <c r="J31" s="657"/>
      <c r="K31" s="657"/>
      <c r="L31" s="657"/>
      <c r="M31" s="657"/>
      <c r="N31" s="647"/>
      <c r="O31" s="658"/>
      <c r="P31" s="649"/>
      <c r="Q31" s="647"/>
      <c r="R31" s="571"/>
      <c r="S31" s="599"/>
      <c r="T31" s="600"/>
      <c r="U31" s="600"/>
      <c r="V31" s="601"/>
    </row>
    <row r="32" spans="1:22" ht="13">
      <c r="A32" s="299" t="s">
        <v>164</v>
      </c>
      <c r="B32" s="646"/>
      <c r="C32" s="656"/>
      <c r="D32" s="656"/>
      <c r="E32" s="656"/>
      <c r="F32" s="657"/>
      <c r="G32" s="656"/>
      <c r="H32" s="657"/>
      <c r="I32" s="657"/>
      <c r="J32" s="657"/>
      <c r="K32" s="657"/>
      <c r="L32" s="657"/>
      <c r="M32" s="657"/>
      <c r="N32" s="647"/>
      <c r="O32" s="658"/>
      <c r="P32" s="649"/>
      <c r="Q32" s="647"/>
      <c r="R32" s="571"/>
      <c r="S32" s="599"/>
      <c r="T32" s="600"/>
      <c r="U32" s="600"/>
      <c r="V32" s="601"/>
    </row>
    <row r="33" spans="1:22">
      <c r="A33" s="300" t="s">
        <v>165</v>
      </c>
      <c r="B33" s="661">
        <v>0</v>
      </c>
      <c r="C33" s="661">
        <v>0</v>
      </c>
      <c r="D33" s="661">
        <v>0</v>
      </c>
      <c r="E33" s="661">
        <v>0</v>
      </c>
      <c r="F33" s="661">
        <v>0</v>
      </c>
      <c r="G33" s="661">
        <v>0</v>
      </c>
      <c r="H33" s="661">
        <v>0</v>
      </c>
      <c r="I33" s="661">
        <v>0</v>
      </c>
      <c r="J33" s="661">
        <v>0</v>
      </c>
      <c r="K33" s="661">
        <v>0</v>
      </c>
      <c r="L33" s="661">
        <v>0</v>
      </c>
      <c r="M33" s="661">
        <v>0</v>
      </c>
      <c r="N33" s="647">
        <f>SUM(B33:M33)</f>
        <v>0</v>
      </c>
      <c r="O33" s="648">
        <f>8111.66+N33</f>
        <v>8111.66</v>
      </c>
      <c r="P33" s="649">
        <v>2507000</v>
      </c>
      <c r="Q33" s="647">
        <v>0</v>
      </c>
      <c r="R33" s="571">
        <f t="shared" ref="R33:R36" si="9">+O33/P33</f>
        <v>3.2356043079377742E-3</v>
      </c>
      <c r="S33" s="599"/>
      <c r="T33" s="600"/>
      <c r="U33" s="600"/>
      <c r="V33" s="601"/>
    </row>
    <row r="34" spans="1:22">
      <c r="A34" s="300" t="s">
        <v>166</v>
      </c>
      <c r="B34" s="646">
        <v>111344</v>
      </c>
      <c r="C34" s="646">
        <v>1498.19</v>
      </c>
      <c r="D34" s="646">
        <f>114985-B34-C34</f>
        <v>2142.81</v>
      </c>
      <c r="E34" s="646">
        <f>116939-SUM(B34:D34)</f>
        <v>1954</v>
      </c>
      <c r="F34" s="646">
        <v>0</v>
      </c>
      <c r="G34" s="646">
        <v>0</v>
      </c>
      <c r="H34" s="646">
        <v>0</v>
      </c>
      <c r="I34" s="646">
        <v>0</v>
      </c>
      <c r="J34" s="646">
        <v>0</v>
      </c>
      <c r="K34" s="646">
        <v>0</v>
      </c>
      <c r="L34" s="646">
        <v>0</v>
      </c>
      <c r="M34" s="646">
        <v>0</v>
      </c>
      <c r="N34" s="647">
        <f>SUM(B34:M34)</f>
        <v>116939</v>
      </c>
      <c r="O34" s="648">
        <f>63741+N34</f>
        <v>180680</v>
      </c>
      <c r="P34" s="647">
        <v>500000</v>
      </c>
      <c r="Q34" s="647">
        <v>0</v>
      </c>
      <c r="R34" s="571">
        <f t="shared" si="9"/>
        <v>0.36136000000000001</v>
      </c>
      <c r="S34" s="599"/>
      <c r="T34" s="600"/>
      <c r="U34" s="600"/>
      <c r="V34" s="601"/>
    </row>
    <row r="35" spans="1:22">
      <c r="A35" s="314" t="s">
        <v>167</v>
      </c>
      <c r="B35" s="646">
        <v>1681</v>
      </c>
      <c r="C35" s="646">
        <v>1873.2300000000002</v>
      </c>
      <c r="D35" s="646">
        <f>6233-C35-B35</f>
        <v>2678.7699999999995</v>
      </c>
      <c r="E35" s="646">
        <v>2441.7399999999998</v>
      </c>
      <c r="F35" s="646">
        <v>0</v>
      </c>
      <c r="G35" s="646">
        <v>0</v>
      </c>
      <c r="H35" s="646">
        <v>0</v>
      </c>
      <c r="I35" s="646">
        <v>0</v>
      </c>
      <c r="J35" s="646">
        <v>0</v>
      </c>
      <c r="K35" s="646">
        <v>0</v>
      </c>
      <c r="L35" s="646">
        <v>0</v>
      </c>
      <c r="M35" s="646">
        <v>0</v>
      </c>
      <c r="N35" s="647">
        <f>SUM(B35:M35)</f>
        <v>8674.74</v>
      </c>
      <c r="O35" s="648">
        <f>615021+N35</f>
        <v>623695.74</v>
      </c>
      <c r="P35" s="649">
        <v>2148000</v>
      </c>
      <c r="Q35" s="647">
        <v>0</v>
      </c>
      <c r="R35" s="571">
        <f t="shared" si="9"/>
        <v>0.29036114525139667</v>
      </c>
      <c r="S35" s="599"/>
      <c r="T35" s="600"/>
      <c r="U35" s="600"/>
      <c r="V35" s="601"/>
    </row>
    <row r="36" spans="1:22">
      <c r="A36" s="315" t="s">
        <v>168</v>
      </c>
      <c r="B36" s="650">
        <v>0</v>
      </c>
      <c r="C36" s="650">
        <v>0</v>
      </c>
      <c r="D36" s="650">
        <v>0</v>
      </c>
      <c r="E36" s="650">
        <v>0</v>
      </c>
      <c r="F36" s="650">
        <v>0</v>
      </c>
      <c r="G36" s="650">
        <v>0</v>
      </c>
      <c r="H36" s="650">
        <v>0</v>
      </c>
      <c r="I36" s="650">
        <v>0</v>
      </c>
      <c r="J36" s="650">
        <v>0</v>
      </c>
      <c r="K36" s="650">
        <v>0</v>
      </c>
      <c r="L36" s="650">
        <v>0</v>
      </c>
      <c r="M36" s="650">
        <v>0</v>
      </c>
      <c r="N36" s="647">
        <f>SUM(B36:M36)</f>
        <v>0</v>
      </c>
      <c r="O36" s="648">
        <f>36789+N36</f>
        <v>36789</v>
      </c>
      <c r="P36" s="647">
        <v>340000</v>
      </c>
      <c r="Q36" s="647">
        <v>0</v>
      </c>
      <c r="R36" s="571">
        <f t="shared" si="9"/>
        <v>0.10820294117647059</v>
      </c>
      <c r="S36" s="599"/>
      <c r="T36" s="600"/>
      <c r="U36" s="600"/>
      <c r="V36" s="601"/>
    </row>
    <row r="37" spans="1:22" ht="13">
      <c r="A37" s="302" t="s">
        <v>268</v>
      </c>
      <c r="B37" s="650">
        <f t="shared" ref="B37:Q37" si="10">SUM(B33:B36)</f>
        <v>113025</v>
      </c>
      <c r="C37" s="651">
        <f t="shared" si="10"/>
        <v>3371.42</v>
      </c>
      <c r="D37" s="651">
        <f t="shared" si="10"/>
        <v>4821.58</v>
      </c>
      <c r="E37" s="651">
        <f t="shared" si="10"/>
        <v>4395.74</v>
      </c>
      <c r="F37" s="651">
        <f t="shared" si="10"/>
        <v>0</v>
      </c>
      <c r="G37" s="651">
        <f t="shared" si="10"/>
        <v>0</v>
      </c>
      <c r="H37" s="651">
        <f t="shared" si="10"/>
        <v>0</v>
      </c>
      <c r="I37" s="651">
        <f t="shared" si="10"/>
        <v>0</v>
      </c>
      <c r="J37" s="651">
        <f t="shared" si="10"/>
        <v>0</v>
      </c>
      <c r="K37" s="651">
        <f t="shared" si="10"/>
        <v>0</v>
      </c>
      <c r="L37" s="651">
        <f t="shared" si="10"/>
        <v>0</v>
      </c>
      <c r="M37" s="651">
        <f t="shared" si="10"/>
        <v>0</v>
      </c>
      <c r="N37" s="655">
        <f>SUM(N33:N36)</f>
        <v>125613.74</v>
      </c>
      <c r="O37" s="660">
        <f>SUM(O33:O36)</f>
        <v>849276.4</v>
      </c>
      <c r="P37" s="654">
        <f t="shared" si="10"/>
        <v>5495000</v>
      </c>
      <c r="Q37" s="655">
        <f t="shared" si="10"/>
        <v>0</v>
      </c>
      <c r="R37" s="573">
        <f>O37/P37</f>
        <v>0.1545543949044586</v>
      </c>
      <c r="S37" s="599"/>
      <c r="T37" s="600"/>
      <c r="U37" s="600"/>
      <c r="V37" s="601"/>
    </row>
    <row r="38" spans="1:22">
      <c r="A38" s="300"/>
      <c r="B38" s="646"/>
      <c r="C38" s="656"/>
      <c r="D38" s="656"/>
      <c r="E38" s="656"/>
      <c r="F38" s="657"/>
      <c r="G38" s="656"/>
      <c r="H38" s="657"/>
      <c r="I38" s="657"/>
      <c r="J38" s="657"/>
      <c r="K38" s="657"/>
      <c r="L38" s="657"/>
      <c r="M38" s="657"/>
      <c r="N38" s="647"/>
      <c r="O38" s="658"/>
      <c r="P38" s="649"/>
      <c r="Q38" s="647"/>
      <c r="R38" s="571"/>
      <c r="S38" s="599"/>
      <c r="T38" s="600"/>
      <c r="U38" s="600"/>
      <c r="V38" s="601"/>
    </row>
    <row r="39" spans="1:22" ht="13">
      <c r="A39" s="299" t="s">
        <v>169</v>
      </c>
      <c r="B39" s="646"/>
      <c r="C39" s="656"/>
      <c r="D39" s="656"/>
      <c r="E39" s="656"/>
      <c r="F39" s="657"/>
      <c r="G39" s="656"/>
      <c r="H39" s="657"/>
      <c r="I39" s="657"/>
      <c r="J39" s="657"/>
      <c r="K39" s="657"/>
      <c r="L39" s="657"/>
      <c r="M39" s="657"/>
      <c r="N39" s="647"/>
      <c r="O39" s="658"/>
      <c r="P39" s="649"/>
      <c r="Q39" s="647"/>
      <c r="R39" s="571"/>
      <c r="S39" s="599"/>
      <c r="T39" s="600"/>
      <c r="U39" s="600"/>
      <c r="V39" s="601"/>
    </row>
    <row r="40" spans="1:22">
      <c r="A40" s="300" t="s">
        <v>267</v>
      </c>
      <c r="B40" s="663">
        <v>2750</v>
      </c>
      <c r="C40" s="663">
        <v>0</v>
      </c>
      <c r="D40" s="663">
        <v>40412.11</v>
      </c>
      <c r="E40" s="663">
        <v>1641.0499999999993</v>
      </c>
      <c r="F40" s="663">
        <v>0</v>
      </c>
      <c r="G40" s="663">
        <v>0</v>
      </c>
      <c r="H40" s="663">
        <v>0</v>
      </c>
      <c r="I40" s="663">
        <v>0</v>
      </c>
      <c r="J40" s="663">
        <v>0</v>
      </c>
      <c r="K40" s="663">
        <v>0</v>
      </c>
      <c r="L40" s="663">
        <v>0</v>
      </c>
      <c r="M40" s="663">
        <v>0</v>
      </c>
      <c r="N40" s="647">
        <f>SUM(B40:M40)</f>
        <v>44803.16</v>
      </c>
      <c r="O40" s="648">
        <f>2744778+N40</f>
        <v>2789581.16</v>
      </c>
      <c r="P40" s="649">
        <v>4502000</v>
      </c>
      <c r="Q40" s="647">
        <v>0</v>
      </c>
      <c r="R40" s="571">
        <f t="shared" ref="R40" si="11">+O40/P40</f>
        <v>0.61963153265215465</v>
      </c>
      <c r="S40" s="599"/>
      <c r="T40" s="600"/>
      <c r="U40" s="600"/>
      <c r="V40" s="601"/>
    </row>
    <row r="41" spans="1:22" ht="13">
      <c r="A41" s="302" t="s">
        <v>170</v>
      </c>
      <c r="B41" s="650">
        <f t="shared" ref="B41:N41" si="12">SUM(B40:B40)</f>
        <v>2750</v>
      </c>
      <c r="C41" s="651">
        <f t="shared" si="12"/>
        <v>0</v>
      </c>
      <c r="D41" s="651">
        <f t="shared" si="12"/>
        <v>40412.11</v>
      </c>
      <c r="E41" s="651">
        <f t="shared" si="12"/>
        <v>1641.0499999999993</v>
      </c>
      <c r="F41" s="662">
        <f t="shared" si="12"/>
        <v>0</v>
      </c>
      <c r="G41" s="651">
        <f t="shared" si="12"/>
        <v>0</v>
      </c>
      <c r="H41" s="662">
        <f t="shared" si="12"/>
        <v>0</v>
      </c>
      <c r="I41" s="662">
        <f t="shared" si="12"/>
        <v>0</v>
      </c>
      <c r="J41" s="662">
        <f t="shared" si="12"/>
        <v>0</v>
      </c>
      <c r="K41" s="662">
        <f t="shared" si="12"/>
        <v>0</v>
      </c>
      <c r="L41" s="662">
        <f t="shared" si="12"/>
        <v>0</v>
      </c>
      <c r="M41" s="662">
        <f t="shared" si="12"/>
        <v>0</v>
      </c>
      <c r="N41" s="655">
        <f t="shared" si="12"/>
        <v>44803.16</v>
      </c>
      <c r="O41" s="660">
        <f>O40</f>
        <v>2789581.16</v>
      </c>
      <c r="P41" s="654">
        <f>SUM(P40)</f>
        <v>4502000</v>
      </c>
      <c r="Q41" s="655">
        <f>SUM(Q40:Q40)</f>
        <v>0</v>
      </c>
      <c r="R41" s="573">
        <f>O41/P41</f>
        <v>0.61963153265215465</v>
      </c>
      <c r="S41" s="599"/>
      <c r="T41" s="600"/>
      <c r="U41" s="600"/>
      <c r="V41" s="601"/>
    </row>
    <row r="42" spans="1:22" ht="13">
      <c r="A42" s="299"/>
      <c r="B42" s="646"/>
      <c r="C42" s="656"/>
      <c r="D42" s="656"/>
      <c r="E42" s="656"/>
      <c r="F42" s="657"/>
      <c r="G42" s="656"/>
      <c r="H42" s="657"/>
      <c r="I42" s="657"/>
      <c r="J42" s="657"/>
      <c r="K42" s="657"/>
      <c r="L42" s="657"/>
      <c r="M42" s="657"/>
      <c r="N42" s="647"/>
      <c r="O42" s="664"/>
      <c r="P42" s="665"/>
      <c r="Q42" s="647"/>
      <c r="R42" s="571"/>
      <c r="S42" s="599"/>
      <c r="T42" s="600"/>
      <c r="U42" s="600"/>
      <c r="V42" s="601"/>
    </row>
    <row r="43" spans="1:22" ht="13">
      <c r="A43" s="299" t="s">
        <v>171</v>
      </c>
      <c r="B43" s="646"/>
      <c r="C43" s="656"/>
      <c r="D43" s="656"/>
      <c r="E43" s="656"/>
      <c r="F43" s="657"/>
      <c r="G43" s="656"/>
      <c r="H43" s="657"/>
      <c r="I43" s="657"/>
      <c r="J43" s="657"/>
      <c r="K43" s="657"/>
      <c r="L43" s="657"/>
      <c r="M43" s="657"/>
      <c r="N43" s="647"/>
      <c r="O43" s="664"/>
      <c r="P43" s="649"/>
      <c r="Q43" s="647"/>
      <c r="R43" s="571"/>
      <c r="S43" s="599"/>
      <c r="T43" s="600"/>
      <c r="U43" s="600"/>
      <c r="V43" s="601"/>
    </row>
    <row r="44" spans="1:22" ht="14.5">
      <c r="A44" s="300" t="s">
        <v>266</v>
      </c>
      <c r="B44" s="646">
        <v>37208</v>
      </c>
      <c r="C44" s="646">
        <v>42547.530000000013</v>
      </c>
      <c r="D44" s="646">
        <f>137335-C44-B44</f>
        <v>57579.469999999987</v>
      </c>
      <c r="E44" s="646">
        <f>188884-SUM(B44:D44)</f>
        <v>51549</v>
      </c>
      <c r="F44" s="646">
        <v>0</v>
      </c>
      <c r="G44" s="646">
        <v>0</v>
      </c>
      <c r="H44" s="646">
        <v>0</v>
      </c>
      <c r="I44" s="646">
        <v>0</v>
      </c>
      <c r="J44" s="646">
        <v>0</v>
      </c>
      <c r="K44" s="646">
        <v>0</v>
      </c>
      <c r="L44" s="646">
        <v>0</v>
      </c>
      <c r="M44" s="646">
        <v>0</v>
      </c>
      <c r="N44" s="647">
        <f>SUM(B44:M44)</f>
        <v>188884</v>
      </c>
      <c r="O44" s="648">
        <f>1537662+N44</f>
        <v>1726546</v>
      </c>
      <c r="P44" s="666">
        <f>4095000-166000</f>
        <v>3929000</v>
      </c>
      <c r="Q44" s="647">
        <v>-166000</v>
      </c>
      <c r="R44" s="571">
        <f t="shared" ref="R44:R47" si="13">+O44/P44</f>
        <v>0.43943649783659966</v>
      </c>
      <c r="S44" s="599"/>
      <c r="T44" s="600"/>
      <c r="U44" s="600"/>
      <c r="V44" s="601"/>
    </row>
    <row r="45" spans="1:22" s="197" customFormat="1" ht="14.5">
      <c r="A45" s="301" t="s">
        <v>265</v>
      </c>
      <c r="B45" s="646">
        <v>120524</v>
      </c>
      <c r="C45" s="646">
        <v>107796.25</v>
      </c>
      <c r="D45" s="646">
        <f>380534-C45-B45</f>
        <v>152213.75</v>
      </c>
      <c r="E45" s="646">
        <f>530558-SUM(B45:D45)</f>
        <v>150024</v>
      </c>
      <c r="F45" s="646">
        <v>0</v>
      </c>
      <c r="G45" s="646">
        <v>0</v>
      </c>
      <c r="H45" s="646">
        <v>0</v>
      </c>
      <c r="I45" s="646">
        <v>0</v>
      </c>
      <c r="J45" s="646">
        <v>0</v>
      </c>
      <c r="K45" s="646">
        <v>0</v>
      </c>
      <c r="L45" s="646">
        <v>0</v>
      </c>
      <c r="M45" s="646">
        <v>0</v>
      </c>
      <c r="N45" s="649">
        <f>SUM(B45:M45)</f>
        <v>530558</v>
      </c>
      <c r="O45" s="648">
        <f>5262171+N45</f>
        <v>5792729</v>
      </c>
      <c r="P45" s="666">
        <f>7948000+566000</f>
        <v>8514000</v>
      </c>
      <c r="Q45" s="649">
        <v>566000</v>
      </c>
      <c r="R45" s="575">
        <f t="shared" si="13"/>
        <v>0.68037690862109468</v>
      </c>
      <c r="S45" s="599"/>
      <c r="T45" s="600"/>
      <c r="U45" s="600"/>
      <c r="V45" s="601"/>
    </row>
    <row r="46" spans="1:22">
      <c r="A46" s="300" t="s">
        <v>244</v>
      </c>
      <c r="B46" s="646">
        <v>23262</v>
      </c>
      <c r="C46" s="646">
        <v>81327</v>
      </c>
      <c r="D46" s="646">
        <f>174323-C46-B46</f>
        <v>69734</v>
      </c>
      <c r="E46" s="646">
        <f>223736-SUM(B46:D46)</f>
        <v>49413</v>
      </c>
      <c r="F46" s="646">
        <v>0</v>
      </c>
      <c r="G46" s="646">
        <v>0</v>
      </c>
      <c r="H46" s="646">
        <v>0</v>
      </c>
      <c r="I46" s="646">
        <v>0</v>
      </c>
      <c r="J46" s="646">
        <v>0</v>
      </c>
      <c r="K46" s="646">
        <v>0</v>
      </c>
      <c r="L46" s="646">
        <v>0</v>
      </c>
      <c r="M46" s="646">
        <v>0</v>
      </c>
      <c r="N46" s="647">
        <f>SUM(B46:M46)</f>
        <v>223736</v>
      </c>
      <c r="O46" s="648">
        <f>2125875+N46</f>
        <v>2349611</v>
      </c>
      <c r="P46" s="667">
        <f>5600600-400000</f>
        <v>5200600</v>
      </c>
      <c r="Q46" s="647">
        <v>-400000</v>
      </c>
      <c r="R46" s="571">
        <f t="shared" si="13"/>
        <v>0.45179613890704917</v>
      </c>
      <c r="S46" s="599"/>
      <c r="T46" s="600"/>
      <c r="U46" s="600"/>
      <c r="V46" s="601"/>
    </row>
    <row r="47" spans="1:22">
      <c r="A47" s="300" t="s">
        <v>173</v>
      </c>
      <c r="B47" s="646">
        <v>3379</v>
      </c>
      <c r="C47" s="646">
        <v>24799</v>
      </c>
      <c r="D47" s="646">
        <v>0</v>
      </c>
      <c r="E47" s="708">
        <f>28178-SUM(B47:D47)</f>
        <v>0</v>
      </c>
      <c r="F47" s="646">
        <v>0</v>
      </c>
      <c r="G47" s="646">
        <v>0</v>
      </c>
      <c r="H47" s="646">
        <v>0</v>
      </c>
      <c r="I47" s="646">
        <v>0</v>
      </c>
      <c r="J47" s="646">
        <v>0</v>
      </c>
      <c r="K47" s="646">
        <v>0</v>
      </c>
      <c r="L47" s="646">
        <v>0</v>
      </c>
      <c r="M47" s="646">
        <v>0</v>
      </c>
      <c r="N47" s="647">
        <f>SUM(B47:M47)</f>
        <v>28178</v>
      </c>
      <c r="O47" s="648">
        <f>239456+N47</f>
        <v>267634</v>
      </c>
      <c r="P47" s="668">
        <v>1000000</v>
      </c>
      <c r="Q47" s="647">
        <v>0</v>
      </c>
      <c r="R47" s="571">
        <f t="shared" si="13"/>
        <v>0.26763399999999998</v>
      </c>
      <c r="S47" s="599"/>
      <c r="T47" s="600"/>
      <c r="U47" s="600"/>
      <c r="V47" s="601"/>
    </row>
    <row r="48" spans="1:22" ht="13">
      <c r="A48" s="302" t="s">
        <v>174</v>
      </c>
      <c r="B48" s="652">
        <f>SUM(B44:B47)</f>
        <v>184373</v>
      </c>
      <c r="C48" s="659">
        <f t="shared" ref="C48:M48" si="14">SUM(C44:C47)</f>
        <v>256469.78000000003</v>
      </c>
      <c r="D48" s="659">
        <f t="shared" si="14"/>
        <v>279527.21999999997</v>
      </c>
      <c r="E48" s="659">
        <f t="shared" si="14"/>
        <v>250986</v>
      </c>
      <c r="F48" s="659">
        <f t="shared" si="14"/>
        <v>0</v>
      </c>
      <c r="G48" s="659">
        <f>SUM(G44:G47)</f>
        <v>0</v>
      </c>
      <c r="H48" s="659">
        <f t="shared" si="14"/>
        <v>0</v>
      </c>
      <c r="I48" s="659">
        <f t="shared" si="14"/>
        <v>0</v>
      </c>
      <c r="J48" s="659">
        <f t="shared" si="14"/>
        <v>0</v>
      </c>
      <c r="K48" s="659">
        <f t="shared" si="14"/>
        <v>0</v>
      </c>
      <c r="L48" s="659">
        <f t="shared" si="14"/>
        <v>0</v>
      </c>
      <c r="M48" s="659">
        <f t="shared" si="14"/>
        <v>0</v>
      </c>
      <c r="N48" s="655">
        <f>N47+N46+N45+N44</f>
        <v>971356</v>
      </c>
      <c r="O48" s="660">
        <f>SUM(O44:O47)</f>
        <v>10136520</v>
      </c>
      <c r="P48" s="654">
        <f>SUM(P44:P47)</f>
        <v>18643600</v>
      </c>
      <c r="Q48" s="655">
        <f>SUM(Q44:Q47)</f>
        <v>0</v>
      </c>
      <c r="R48" s="573">
        <f>O48/P48</f>
        <v>0.54369971464738565</v>
      </c>
      <c r="S48" s="599"/>
      <c r="T48" s="600"/>
      <c r="U48" s="600"/>
      <c r="V48" s="600"/>
    </row>
    <row r="49" spans="1:22" ht="13">
      <c r="A49" s="299"/>
      <c r="B49" s="646"/>
      <c r="C49" s="656"/>
      <c r="D49" s="656"/>
      <c r="E49" s="656"/>
      <c r="F49" s="657"/>
      <c r="G49" s="656"/>
      <c r="H49" s="657"/>
      <c r="I49" s="657"/>
      <c r="J49" s="657"/>
      <c r="K49" s="657"/>
      <c r="L49" s="657"/>
      <c r="M49" s="657"/>
      <c r="N49" s="647"/>
      <c r="O49" s="658"/>
      <c r="P49" s="649"/>
      <c r="Q49" s="647"/>
      <c r="R49" s="571"/>
      <c r="S49" s="599"/>
      <c r="T49" s="600"/>
      <c r="U49" s="600"/>
      <c r="V49" s="600"/>
    </row>
    <row r="50" spans="1:22" ht="15" customHeight="1">
      <c r="A50" s="305" t="s">
        <v>175</v>
      </c>
      <c r="B50" s="652">
        <f>B48+B41+B37+B30+B24+B20+B16</f>
        <v>661763</v>
      </c>
      <c r="C50" s="659">
        <f>C48+C41+C37+C30+C24+C20+C16</f>
        <v>453341.01000000007</v>
      </c>
      <c r="D50" s="659">
        <f t="shared" ref="D50:M50" si="15">D48+D41+D37+D30+D24+D20+D16</f>
        <v>802977.66</v>
      </c>
      <c r="E50" s="659">
        <f t="shared" si="15"/>
        <v>450663.22000000003</v>
      </c>
      <c r="F50" s="659">
        <f t="shared" si="15"/>
        <v>0</v>
      </c>
      <c r="G50" s="659">
        <f t="shared" si="15"/>
        <v>0</v>
      </c>
      <c r="H50" s="659">
        <f t="shared" si="15"/>
        <v>0</v>
      </c>
      <c r="I50" s="659">
        <f t="shared" si="15"/>
        <v>0</v>
      </c>
      <c r="J50" s="659">
        <f t="shared" si="15"/>
        <v>0</v>
      </c>
      <c r="K50" s="659">
        <f t="shared" si="15"/>
        <v>0</v>
      </c>
      <c r="L50" s="659">
        <f t="shared" si="15"/>
        <v>0</v>
      </c>
      <c r="M50" s="659">
        <f t="shared" si="15"/>
        <v>0</v>
      </c>
      <c r="N50" s="655">
        <f>N48+N41+N37+N30+N24+N20+N16</f>
        <v>2368744.89</v>
      </c>
      <c r="O50" s="660">
        <f>O48+O41+O37+O30+O24+O20+O16</f>
        <v>29278337.550000001</v>
      </c>
      <c r="P50" s="669">
        <f>P48+P41+P37+P30+P24+P20+P16</f>
        <v>82380102</v>
      </c>
      <c r="Q50" s="669">
        <f>Q16+Q30+Q48</f>
        <v>0</v>
      </c>
      <c r="R50" s="573">
        <f>O50/P50</f>
        <v>0.35540545397722378</v>
      </c>
      <c r="S50" s="599"/>
      <c r="T50" s="600"/>
      <c r="U50" s="600"/>
      <c r="V50" s="601"/>
    </row>
    <row r="51" spans="1:22" ht="15" customHeight="1">
      <c r="A51" s="306"/>
      <c r="B51" s="493"/>
      <c r="C51" s="492"/>
      <c r="D51" s="492"/>
      <c r="E51" s="492"/>
      <c r="F51" s="492"/>
      <c r="G51" s="494"/>
      <c r="H51" s="492"/>
      <c r="I51" s="492"/>
      <c r="J51" s="492"/>
      <c r="K51" s="492"/>
      <c r="L51" s="492"/>
      <c r="M51" s="492"/>
      <c r="N51" s="492"/>
      <c r="O51" s="556"/>
      <c r="P51" s="492" t="s">
        <v>56</v>
      </c>
      <c r="Q51" s="492"/>
      <c r="R51" s="569"/>
      <c r="S51" s="599"/>
      <c r="T51" s="600"/>
      <c r="U51" s="600"/>
      <c r="V51" s="600"/>
    </row>
    <row r="52" spans="1:22" ht="10.5" customHeight="1" thickBot="1">
      <c r="A52" s="202"/>
      <c r="B52" s="200"/>
      <c r="C52" s="140"/>
      <c r="D52" s="140"/>
      <c r="E52" s="140"/>
      <c r="F52" s="140"/>
      <c r="G52" s="140"/>
      <c r="H52" s="140"/>
      <c r="I52" s="140"/>
      <c r="J52" s="140"/>
      <c r="K52" s="140"/>
      <c r="L52" s="140"/>
      <c r="M52" s="140"/>
      <c r="N52" s="140"/>
      <c r="O52" s="557"/>
      <c r="P52" s="141"/>
      <c r="Q52" s="141"/>
      <c r="R52" s="293"/>
    </row>
    <row r="53" spans="1:22">
      <c r="A53" s="197"/>
      <c r="G53" s="250"/>
      <c r="P53" s="250" t="s">
        <v>56</v>
      </c>
    </row>
    <row r="54" spans="1:22" ht="14">
      <c r="A54" s="263" t="s">
        <v>63</v>
      </c>
      <c r="B54" s="197"/>
      <c r="N54" s="337"/>
      <c r="P54" s="130" t="s">
        <v>56</v>
      </c>
    </row>
    <row r="55" spans="1:22" s="598" customFormat="1" ht="16">
      <c r="A55" s="598" t="s">
        <v>311</v>
      </c>
      <c r="O55" s="670"/>
    </row>
    <row r="56" spans="1:22" s="598" customFormat="1">
      <c r="O56" s="670"/>
    </row>
    <row r="57" spans="1:22" ht="14">
      <c r="A57" s="236" t="s">
        <v>64</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23"/>
  <sheetViews>
    <sheetView topLeftCell="A7" zoomScaleNormal="100" zoomScaleSheetLayoutView="100" workbookViewId="0">
      <selection activeCell="B11" sqref="B11"/>
    </sheetView>
  </sheetViews>
  <sheetFormatPr defaultColWidth="9.26953125" defaultRowHeight="12.5"/>
  <cols>
    <col min="1" max="1" width="29.26953125" style="142" customWidth="1"/>
    <col min="2" max="2" width="22.6328125" style="142" bestFit="1" customWidth="1"/>
    <col min="3" max="3" width="49.7265625" style="142" customWidth="1"/>
    <col min="4" max="4" width="11.26953125" style="142" customWidth="1"/>
    <col min="5" max="5" width="57" style="142" customWidth="1"/>
    <col min="6" max="13" width="9.26953125" style="142"/>
    <col min="14" max="14" width="23.7265625" style="142" bestFit="1" customWidth="1"/>
    <col min="15" max="16384" width="9.26953125" style="142"/>
  </cols>
  <sheetData>
    <row r="1" spans="1:5" ht="13">
      <c r="C1" s="148" t="s">
        <v>39</v>
      </c>
    </row>
    <row r="2" spans="1:5" ht="13">
      <c r="C2" s="148" t="s">
        <v>176</v>
      </c>
    </row>
    <row r="3" spans="1:5" ht="13">
      <c r="C3" s="198" t="s">
        <v>298</v>
      </c>
    </row>
    <row r="4" spans="1:5">
      <c r="C4" s="17"/>
    </row>
    <row r="5" spans="1:5">
      <c r="C5" s="17"/>
      <c r="D5" s="196"/>
    </row>
    <row r="6" spans="1:5" s="17" customFormat="1" ht="13">
      <c r="A6" s="269"/>
      <c r="B6" s="269"/>
    </row>
    <row r="7" spans="1:5" s="17" customFormat="1"/>
    <row r="8" spans="1:5" s="19" customFormat="1" ht="13">
      <c r="A8" s="18" t="s">
        <v>177</v>
      </c>
      <c r="B8" s="18" t="s">
        <v>178</v>
      </c>
      <c r="C8" s="18" t="s">
        <v>179</v>
      </c>
      <c r="D8" s="18" t="s">
        <v>180</v>
      </c>
      <c r="E8" s="18" t="s">
        <v>181</v>
      </c>
    </row>
    <row r="9" spans="1:5" s="19" customFormat="1" ht="50">
      <c r="A9" s="340" t="s">
        <v>150</v>
      </c>
      <c r="B9" s="341">
        <v>-234498</v>
      </c>
      <c r="C9" s="348" t="s">
        <v>210</v>
      </c>
      <c r="D9" s="343">
        <v>43302</v>
      </c>
      <c r="E9" s="342" t="s">
        <v>288</v>
      </c>
    </row>
    <row r="10" spans="1:5" s="19" customFormat="1" ht="50">
      <c r="A10" s="340" t="s">
        <v>296</v>
      </c>
      <c r="B10" s="341">
        <v>-700000</v>
      </c>
      <c r="C10" s="348" t="s">
        <v>289</v>
      </c>
      <c r="D10" s="343">
        <v>43302</v>
      </c>
      <c r="E10" s="342" t="s">
        <v>290</v>
      </c>
    </row>
    <row r="11" spans="1:5" s="19" customFormat="1" ht="62.5">
      <c r="A11" s="340" t="s">
        <v>297</v>
      </c>
      <c r="B11" s="341">
        <v>-194400</v>
      </c>
      <c r="C11" s="348" t="s">
        <v>291</v>
      </c>
      <c r="D11" s="343">
        <v>43304</v>
      </c>
      <c r="E11" s="342" t="s">
        <v>292</v>
      </c>
    </row>
    <row r="12" spans="1:5" s="19" customFormat="1" ht="137.5">
      <c r="A12" s="340" t="s">
        <v>295</v>
      </c>
      <c r="B12" s="341">
        <v>1128898</v>
      </c>
      <c r="C12" s="348" t="s">
        <v>293</v>
      </c>
      <c r="D12" s="343">
        <v>43302</v>
      </c>
      <c r="E12" s="342" t="s">
        <v>294</v>
      </c>
    </row>
    <row r="13" spans="1:5" s="344" customFormat="1" ht="50">
      <c r="A13" s="340" t="s">
        <v>171</v>
      </c>
      <c r="B13" s="341">
        <v>-166000</v>
      </c>
      <c r="C13" s="348" t="s">
        <v>172</v>
      </c>
      <c r="D13" s="343">
        <v>44061</v>
      </c>
      <c r="E13" s="342" t="s">
        <v>245</v>
      </c>
    </row>
    <row r="14" spans="1:5" s="347" customFormat="1" ht="50">
      <c r="A14" s="340" t="s">
        <v>171</v>
      </c>
      <c r="B14" s="346">
        <v>-400000</v>
      </c>
      <c r="C14" s="348" t="s">
        <v>244</v>
      </c>
      <c r="D14" s="343">
        <v>44061</v>
      </c>
      <c r="E14" s="342" t="s">
        <v>245</v>
      </c>
    </row>
    <row r="15" spans="1:5" s="347" customFormat="1" ht="50">
      <c r="A15" s="340" t="s">
        <v>171</v>
      </c>
      <c r="B15" s="346">
        <v>566000</v>
      </c>
      <c r="C15" s="349" t="s">
        <v>243</v>
      </c>
      <c r="D15" s="343">
        <v>44061</v>
      </c>
      <c r="E15" s="342" t="s">
        <v>245</v>
      </c>
    </row>
    <row r="16" spans="1:5" s="347" customFormat="1">
      <c r="A16" s="345" t="s">
        <v>56</v>
      </c>
      <c r="B16" s="346" t="s">
        <v>56</v>
      </c>
      <c r="C16" s="349" t="s">
        <v>56</v>
      </c>
      <c r="D16" s="343"/>
      <c r="E16" s="342"/>
    </row>
    <row r="17" spans="1:5" ht="13">
      <c r="A17" s="144" t="s">
        <v>91</v>
      </c>
      <c r="B17" s="229">
        <f>SUM(B9:B16)</f>
        <v>0</v>
      </c>
      <c r="C17" s="143"/>
      <c r="D17" s="143"/>
      <c r="E17" s="143"/>
    </row>
    <row r="18" spans="1:5">
      <c r="A18" s="143"/>
      <c r="B18" s="143"/>
      <c r="C18" s="143"/>
      <c r="D18" s="143"/>
      <c r="E18" s="143"/>
    </row>
    <row r="20" spans="1:5" ht="14">
      <c r="A20" s="438" t="s">
        <v>63</v>
      </c>
    </row>
    <row r="21" spans="1:5" ht="14">
      <c r="A21" s="439" t="s">
        <v>182</v>
      </c>
    </row>
    <row r="22" spans="1:5" ht="14">
      <c r="A22" s="438"/>
    </row>
    <row r="23" spans="1:5" ht="14.5">
      <c r="A23" s="440" t="s">
        <v>64</v>
      </c>
      <c r="E23" s="145"/>
    </row>
  </sheetData>
  <phoneticPr fontId="43"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7RCVYNPDDY4V-1526832976-112</_dlc_DocId>
    <_dlc_DocIdUrl xmlns="9bf079a2-8838-46e4-a25e-754293e27338">
      <Url>https://sempra.sharepoint.com/teams/sdgecp/po/drps/_layouts/15/DocIdRedir.aspx?ID=7RCVYNPDDY4V-1526832976-112</Url>
      <Description>7RCVYNPDDY4V-1526832976-112</Description>
    </_dlc_DocIdUrl>
  </documentManagement>
</p:properties>
</file>

<file path=customXml/itemProps1.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2.xml><?xml version="1.0" encoding="utf-8"?>
<ds:datastoreItem xmlns:ds="http://schemas.openxmlformats.org/officeDocument/2006/customXml" ds:itemID="{680486D6-920A-4B96-82F8-54628C0563E2}">
  <ds:schemaRefs>
    <ds:schemaRef ds:uri="http://schemas.microsoft.com/sharepoint/events"/>
  </ds:schemaRefs>
</ds:datastoreItem>
</file>

<file path=customXml/itemProps3.xml><?xml version="1.0" encoding="utf-8"?>
<ds:datastoreItem xmlns:ds="http://schemas.openxmlformats.org/officeDocument/2006/customXml" ds:itemID="{DB64F0E2-3735-4A4B-B446-01E723C0F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9CE5A5-034A-44C5-96B1-1FD952A1C468}">
  <ds:schemaRefs>
    <ds:schemaRef ds:uri="http://schemas.microsoft.com/office/2006/documentManagement/types"/>
    <ds:schemaRef ds:uri="http://purl.org/dc/dcmitype/"/>
    <ds:schemaRef ds:uri="9bf079a2-8838-46e4-a25e-754293e27338"/>
    <ds:schemaRef ds:uri="3186f035-0cdb-442a-b3b5-e1bf8686ba54"/>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2021-05-20T13:08:15Z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ed9d6a17-810d-4f84-92ae-0dd4b1ac842a</vt:lpwstr>
  </property>
  <property fmtid="{D5CDD505-2E9C-101B-9397-08002B2CF9AE}" pid="8" name="SharedWithUsers">
    <vt:lpwstr>212;#Valdivieso, Guillermo</vt:lpwstr>
  </property>
</Properties>
</file>