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https://sempra-my.sharepoint.com/personal/kpitsko_semprautilities_com/Documents/User Folders/Desktop/Approvals/"/>
    </mc:Choice>
  </mc:AlternateContent>
  <xr:revisionPtr revIDLastSave="0" documentId="8_{CBB17273-E93D-4F78-B5F6-3024DF97021B}" xr6:coauthVersionLast="45" xr6:coauthVersionMax="45" xr10:uidLastSave="{00000000-0000-0000-0000-000000000000}"/>
  <bookViews>
    <workbookView xWindow="-110" yWindow="-110" windowWidth="38620" windowHeight="21220" tabRatio="873" firstSheet="1" activeTab="6"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Summary'!$A$8:$G$10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Deployment'!$A$1:$M$44</definedName>
    <definedName name="_xlnm.Print_Area" localSheetId="7">'DRP Expenditures'!$A$54:$M$54</definedName>
    <definedName name="_xlnm.Print_Area" localSheetId="2">'Ex ante LI &amp; Eligibility Stats'!$A$1:$O$19</definedName>
    <definedName name="_xlnm.Print_Area" localSheetId="3">'Ex post LI &amp; Eligibility Stats'!$A$1:$O$27</definedName>
    <definedName name="_xlnm.Print_Area" localSheetId="8">'Fund Shift Log'!$A$1:$E$19</definedName>
    <definedName name="_xlnm.Print_Area" localSheetId="6">Marketing!$A$1:$Q$40</definedName>
    <definedName name="_xlnm.Print_Area" localSheetId="1">'Program MW '!$A$1:$S$55</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Stats'!$A$2:$O$25</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34" l="1"/>
  <c r="O37" i="134"/>
  <c r="O36" i="134"/>
  <c r="O28" i="134"/>
  <c r="O27" i="134"/>
  <c r="O20" i="134"/>
  <c r="O19" i="134"/>
  <c r="O18" i="134"/>
  <c r="O17" i="134"/>
  <c r="O16" i="134"/>
  <c r="O15" i="134"/>
  <c r="O14" i="134"/>
  <c r="O12" i="134"/>
  <c r="O29" i="134" l="1"/>
  <c r="O21" i="134" l="1"/>
  <c r="H33" i="129" l="1"/>
  <c r="O15" i="117"/>
  <c r="B37" i="129" l="1"/>
  <c r="B50" i="119" l="1"/>
  <c r="O35" i="134"/>
  <c r="O30" i="134"/>
  <c r="Q23" i="134" l="1"/>
  <c r="Q11" i="134"/>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9" i="131" l="1"/>
  <c r="M36" i="131"/>
  <c r="L36" i="131"/>
  <c r="M34" i="131"/>
  <c r="M24" i="131"/>
  <c r="M23" i="131"/>
  <c r="M31" i="134" l="1"/>
  <c r="K36" i="131" l="1"/>
  <c r="L24" i="131"/>
  <c r="L23" i="131"/>
  <c r="K23" i="131"/>
  <c r="L34" i="131"/>
  <c r="O36" i="33"/>
  <c r="C4" i="57" l="1"/>
  <c r="L13" i="131"/>
  <c r="K24" i="131" l="1"/>
  <c r="K34" i="131"/>
  <c r="J23" i="131"/>
  <c r="K13" i="131"/>
  <c r="N12" i="134"/>
  <c r="N13" i="134"/>
  <c r="N14" i="134"/>
  <c r="N15" i="134"/>
  <c r="N16" i="134"/>
  <c r="N17" i="134"/>
  <c r="N18" i="134"/>
  <c r="N19" i="134"/>
  <c r="N20" i="134"/>
  <c r="N21" i="134"/>
  <c r="N22" i="134"/>
  <c r="N11" i="134"/>
  <c r="O11" i="134" s="1"/>
  <c r="N23" i="134" l="1"/>
  <c r="J36" i="131" l="1"/>
  <c r="J34" i="131"/>
  <c r="J24" i="13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P48" i="117" l="1"/>
  <c r="N47" i="119"/>
  <c r="I34" i="131"/>
  <c r="I36" i="131"/>
  <c r="I24" i="131"/>
  <c r="I23" i="131"/>
  <c r="O13" i="134" l="1"/>
  <c r="O23" i="134" s="1"/>
  <c r="S44" i="33" l="1"/>
  <c r="R44" i="33"/>
  <c r="S43" i="33"/>
  <c r="R43" i="33"/>
  <c r="S42" i="33"/>
  <c r="R42" i="33"/>
  <c r="S41" i="33"/>
  <c r="R41" i="33"/>
  <c r="S40" i="33"/>
  <c r="R40" i="33"/>
  <c r="S39" i="33"/>
  <c r="R39" i="33"/>
  <c r="S38" i="33"/>
  <c r="R38" i="33"/>
  <c r="S37" i="33"/>
  <c r="M33" i="131" s="1"/>
  <c r="R37" i="33"/>
  <c r="S36" i="33"/>
  <c r="M22" i="131" s="1"/>
  <c r="R36" i="33"/>
  <c r="S34" i="33"/>
  <c r="R34" i="33"/>
  <c r="P44" i="33"/>
  <c r="O44" i="33"/>
  <c r="P43" i="33"/>
  <c r="O43" i="33"/>
  <c r="P42" i="33"/>
  <c r="O42" i="33"/>
  <c r="P41" i="33"/>
  <c r="O41" i="33"/>
  <c r="P40" i="33"/>
  <c r="O40" i="33"/>
  <c r="P39" i="33"/>
  <c r="O39" i="33"/>
  <c r="P38" i="33"/>
  <c r="O38" i="33"/>
  <c r="P37" i="33"/>
  <c r="O37" i="33"/>
  <c r="P36" i="33"/>
  <c r="L22" i="131" s="1"/>
  <c r="L25" i="131" s="1"/>
  <c r="P34" i="33"/>
  <c r="O34" i="33"/>
  <c r="M44" i="33"/>
  <c r="L44" i="33"/>
  <c r="M43" i="33"/>
  <c r="L43" i="33"/>
  <c r="M42" i="33"/>
  <c r="L42" i="33"/>
  <c r="M41" i="33"/>
  <c r="L41" i="33"/>
  <c r="M40" i="33"/>
  <c r="L40" i="33"/>
  <c r="M39" i="33"/>
  <c r="L39" i="33"/>
  <c r="M38" i="33"/>
  <c r="L38" i="33"/>
  <c r="M37" i="33"/>
  <c r="L37" i="33"/>
  <c r="M36" i="33"/>
  <c r="K22" i="131" s="1"/>
  <c r="K25" i="131" s="1"/>
  <c r="L36" i="33"/>
  <c r="M34" i="33"/>
  <c r="L34" i="33"/>
  <c r="J44" i="33"/>
  <c r="I44" i="33"/>
  <c r="J43" i="33"/>
  <c r="I43" i="33"/>
  <c r="J42" i="33"/>
  <c r="I42" i="33"/>
  <c r="J41" i="33"/>
  <c r="I41" i="33"/>
  <c r="J40" i="33"/>
  <c r="J39" i="33"/>
  <c r="J33" i="131" s="1"/>
  <c r="J40" i="131" s="1"/>
  <c r="I39" i="33"/>
  <c r="J38" i="33"/>
  <c r="I38" i="33"/>
  <c r="J37" i="33"/>
  <c r="I37" i="33"/>
  <c r="J36" i="33"/>
  <c r="J22" i="131" s="1"/>
  <c r="J25" i="131" s="1"/>
  <c r="I36" i="33"/>
  <c r="J34" i="33"/>
  <c r="I34" i="33"/>
  <c r="S31" i="33"/>
  <c r="R31" i="33"/>
  <c r="P31" i="33"/>
  <c r="O31" i="33"/>
  <c r="M31" i="33"/>
  <c r="L31" i="33"/>
  <c r="J31" i="33"/>
  <c r="I31" i="33"/>
  <c r="F31" i="33"/>
  <c r="C31" i="33"/>
  <c r="G31" i="33"/>
  <c r="L33" i="131" l="1"/>
  <c r="L40" i="131" s="1"/>
  <c r="K33" i="131"/>
  <c r="K40" i="131" s="1"/>
  <c r="G44" i="33"/>
  <c r="F44" i="33"/>
  <c r="G43" i="33"/>
  <c r="F43" i="33"/>
  <c r="G42" i="33"/>
  <c r="F42" i="33"/>
  <c r="G41" i="33"/>
  <c r="F41" i="33"/>
  <c r="G40" i="33"/>
  <c r="F40" i="33"/>
  <c r="G39" i="33"/>
  <c r="F39" i="33"/>
  <c r="G38" i="33"/>
  <c r="F38" i="33"/>
  <c r="G37" i="33"/>
  <c r="I33" i="131" s="1"/>
  <c r="F37" i="33"/>
  <c r="G36" i="33"/>
  <c r="I22" i="131" s="1"/>
  <c r="I25" i="131" s="1"/>
  <c r="F36" i="33"/>
  <c r="G34" i="33"/>
  <c r="F34" i="33"/>
  <c r="D36" i="33"/>
  <c r="D37" i="33"/>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H36" i="131" l="1"/>
  <c r="H34" i="131"/>
  <c r="H24" i="131"/>
  <c r="H23" i="131"/>
  <c r="H33" i="131"/>
  <c r="H22" i="131"/>
  <c r="N13" i="129" l="1"/>
  <c r="N14" i="129"/>
  <c r="N15" i="129"/>
  <c r="N16" i="129"/>
  <c r="G36" i="131" l="1"/>
  <c r="G34" i="131"/>
  <c r="G23" i="131" l="1"/>
  <c r="G24" i="131"/>
  <c r="S22" i="33" l="1"/>
  <c r="R22" i="33"/>
  <c r="S21" i="33"/>
  <c r="R21" i="33"/>
  <c r="S20" i="33"/>
  <c r="R20" i="33"/>
  <c r="S19" i="33"/>
  <c r="R19" i="33"/>
  <c r="S18" i="33"/>
  <c r="R18" i="33"/>
  <c r="S17" i="33"/>
  <c r="R17" i="33"/>
  <c r="S16" i="33"/>
  <c r="R16" i="33"/>
  <c r="S15" i="33"/>
  <c r="G33" i="131" s="1"/>
  <c r="R15" i="33"/>
  <c r="S14" i="33"/>
  <c r="G22" i="131" s="1"/>
  <c r="R14" i="33"/>
  <c r="S12" i="33"/>
  <c r="R12" i="33"/>
  <c r="S9" i="33"/>
  <c r="S10" i="33" s="1"/>
  <c r="R9" i="33"/>
  <c r="R10" i="33" s="1"/>
  <c r="G23" i="134" l="1"/>
  <c r="N15" i="117" l="1"/>
  <c r="N14" i="117"/>
  <c r="O14" i="117" s="1"/>
  <c r="N13" i="117"/>
  <c r="O13" i="117" s="1"/>
  <c r="N12" i="117"/>
  <c r="O12" i="117" s="1"/>
  <c r="F36" i="131" l="1"/>
  <c r="F34" i="131"/>
  <c r="F24" i="131"/>
  <c r="E24" i="131"/>
  <c r="D24" i="131"/>
  <c r="F23" i="131"/>
  <c r="E23" i="131"/>
  <c r="P9" i="33" l="1"/>
  <c r="O9" i="33"/>
  <c r="P22" i="33" l="1"/>
  <c r="O22" i="33"/>
  <c r="P21" i="33"/>
  <c r="O21" i="33"/>
  <c r="P20" i="33"/>
  <c r="O20" i="33"/>
  <c r="P19" i="33"/>
  <c r="O19" i="33"/>
  <c r="P18" i="33"/>
  <c r="O18" i="33"/>
  <c r="P17" i="33"/>
  <c r="O17" i="33"/>
  <c r="P16" i="33"/>
  <c r="O16" i="33"/>
  <c r="P15" i="33"/>
  <c r="F33" i="131" s="1"/>
  <c r="F40" i="131" s="1"/>
  <c r="O15" i="33"/>
  <c r="P14" i="33"/>
  <c r="F22" i="131" s="1"/>
  <c r="F25" i="131" s="1"/>
  <c r="O14" i="33"/>
  <c r="P12" i="33"/>
  <c r="O12" i="33"/>
  <c r="N23" i="33" l="1"/>
  <c r="F23" i="134" l="1"/>
  <c r="M40" i="131" l="1"/>
  <c r="I40" i="131"/>
  <c r="H40" i="131"/>
  <c r="G40" i="131"/>
  <c r="P10" i="33"/>
  <c r="M22" i="33" l="1"/>
  <c r="L22" i="33"/>
  <c r="M21" i="33"/>
  <c r="L21" i="33"/>
  <c r="M20" i="33"/>
  <c r="L20" i="33"/>
  <c r="M19" i="33"/>
  <c r="L19" i="33"/>
  <c r="M18" i="33"/>
  <c r="L18" i="33"/>
  <c r="M17" i="33"/>
  <c r="L17" i="33"/>
  <c r="M16" i="33"/>
  <c r="L16" i="33"/>
  <c r="M15" i="33"/>
  <c r="L15" i="33"/>
  <c r="M14" i="33"/>
  <c r="L14" i="33"/>
  <c r="M12" i="33"/>
  <c r="L12" i="33"/>
  <c r="M9" i="33"/>
  <c r="M10" i="33" s="1"/>
  <c r="L9" i="33"/>
  <c r="L10" i="33" s="1"/>
  <c r="M23" i="33" l="1"/>
  <c r="M24" i="33" s="1"/>
  <c r="L23" i="33"/>
  <c r="L24" i="33" s="1"/>
  <c r="D36" i="131"/>
  <c r="D34" i="131"/>
  <c r="E33" i="131"/>
  <c r="E36" i="131"/>
  <c r="E34" i="131"/>
  <c r="E22" i="131"/>
  <c r="E40" i="131" l="1"/>
  <c r="D39" i="131"/>
  <c r="D23" i="13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C39" i="131" l="1"/>
  <c r="B38" i="131"/>
  <c r="C38" i="131"/>
  <c r="C37" i="131"/>
  <c r="D17" i="33" l="1"/>
  <c r="C14" i="33"/>
  <c r="D16" i="33"/>
  <c r="M47" i="119" l="1"/>
  <c r="L47" i="119"/>
  <c r="K47" i="119"/>
  <c r="J47" i="119"/>
  <c r="I47" i="119"/>
  <c r="H47" i="119"/>
  <c r="G47" i="119"/>
  <c r="F47" i="119"/>
  <c r="E47" i="119"/>
  <c r="D47" i="119"/>
  <c r="C47" i="119"/>
  <c r="B47" i="119"/>
  <c r="B23" i="134"/>
  <c r="N37" i="134" l="1"/>
  <c r="N36" i="134"/>
  <c r="N35" i="134"/>
  <c r="N34" i="134"/>
  <c r="O34" i="134" s="1"/>
  <c r="N30" i="134"/>
  <c r="N29" i="134"/>
  <c r="N28" i="134"/>
  <c r="N27" i="134"/>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48" i="119" s="1"/>
  <c r="Q15" i="134"/>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1" i="117"/>
  <c r="F15" i="33"/>
  <c r="G15" i="33"/>
  <c r="F16" i="33"/>
  <c r="G16" i="33"/>
  <c r="F17" i="33"/>
  <c r="G17" i="33"/>
  <c r="F18" i="33"/>
  <c r="D37" i="131" s="1"/>
  <c r="F19" i="33"/>
  <c r="D38" i="131" s="1"/>
  <c r="G18" i="33"/>
  <c r="G19" i="33"/>
  <c r="D14" i="33"/>
  <c r="B22" i="131" s="1"/>
  <c r="F14" i="33"/>
  <c r="H20" i="136" s="1"/>
  <c r="G14" i="33"/>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48"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F22" i="33"/>
  <c r="H27" i="136" s="1"/>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N16" i="117" l="1"/>
  <c r="O11" i="117"/>
  <c r="P15" i="36"/>
  <c r="Q50" i="117"/>
  <c r="O19" i="117"/>
  <c r="O20" i="117" s="1"/>
  <c r="N20" i="117"/>
  <c r="N48" i="117"/>
  <c r="O24" i="117"/>
  <c r="R24" i="117" s="1"/>
  <c r="N24" i="117"/>
  <c r="N34" i="119"/>
  <c r="N48"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O36" i="117"/>
  <c r="R36" i="117" s="1"/>
  <c r="R47" i="117"/>
  <c r="R45"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48" i="119"/>
  <c r="E25" i="131"/>
  <c r="Y13" i="36"/>
  <c r="E33" i="36"/>
  <c r="E42" i="36" s="1"/>
  <c r="F48" i="119"/>
  <c r="D15" i="36"/>
  <c r="O15" i="36"/>
  <c r="L31" i="120"/>
  <c r="E36" i="129"/>
  <c r="E7" i="36"/>
  <c r="E15" i="36" s="1"/>
  <c r="Q7" i="36"/>
  <c r="Q15" i="36" s="1"/>
  <c r="Y7" i="36"/>
  <c r="H42" i="36"/>
  <c r="B31" i="120"/>
  <c r="H36" i="129"/>
  <c r="N36" i="129" s="1"/>
  <c r="L50" i="117"/>
  <c r="R14" i="117"/>
  <c r="N33" i="129"/>
  <c r="L48" i="119"/>
  <c r="I33" i="36"/>
  <c r="K31" i="120"/>
  <c r="F31" i="120"/>
  <c r="E31" i="120"/>
  <c r="B36" i="129"/>
  <c r="M36" i="129"/>
  <c r="L36" i="129"/>
  <c r="N14" i="120"/>
  <c r="O38" i="134"/>
  <c r="I50" i="117"/>
  <c r="C23" i="33"/>
  <c r="M48" i="119"/>
  <c r="E48" i="119"/>
  <c r="G48" i="119"/>
  <c r="J48" i="119"/>
  <c r="D48" i="119"/>
  <c r="K48" i="119"/>
  <c r="Q24" i="33"/>
  <c r="C31" i="120"/>
  <c r="I36" i="129"/>
  <c r="D50" i="117"/>
  <c r="G50" i="117"/>
  <c r="G23" i="33"/>
  <c r="G24" i="33" s="1"/>
  <c r="B24" i="33"/>
  <c r="Q46" i="33"/>
  <c r="I7" i="36"/>
  <c r="I15" i="36" s="1"/>
  <c r="T15" i="36"/>
  <c r="Y33" i="36"/>
  <c r="Y42" i="36" s="1"/>
  <c r="M40" i="36"/>
  <c r="H48" i="119"/>
  <c r="M31" i="120"/>
  <c r="I31" i="120"/>
  <c r="N22" i="120"/>
  <c r="C36" i="129"/>
  <c r="J36" i="129"/>
  <c r="G36" i="129"/>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H50" i="117"/>
  <c r="R12" i="117"/>
  <c r="B25" i="131"/>
  <c r="G31" i="120"/>
  <c r="N24" i="129"/>
  <c r="R23" i="33"/>
  <c r="S23" i="33"/>
  <c r="S24" i="33" s="1"/>
  <c r="N50" i="119" l="1"/>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<sst xmlns="http://schemas.openxmlformats.org/spreadsheetml/2006/main" count="1238" uniqueCount="300">
  <si>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</si>
  <si>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</si>
  <si>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</si>
  <si>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</si>
  <si>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</si>
  <si>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</si>
  <si>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</si>
  <si>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</si>
  <si>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</si>
  <si>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</si>
  <si>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</si>
  <si>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</si>
  <si>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</si>
  <si>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</si>
  <si>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</si>
  <si>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</si>
  <si>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</si>
  <si>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</si>
  <si>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</si>
  <si>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</si>
  <si>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</si>
  <si>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</si>
  <si>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</si>
  <si>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</si>
  <si>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</si>
  <si>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</si>
  <si>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</si>
  <si>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</si>
  <si>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</si>
  <si>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</si>
  <si>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</si>
  <si>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</si>
  <si>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</si>
  <si>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</si>
  <si>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</si>
  <si>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</si>
  <si>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</si>
  <si>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</si>
  <si>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</si>
  <si>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</si>
  <si>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</si>
  <si>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</si>
  <si>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</si>
  <si>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</si>
  <si>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</si>
  <si>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</si>
  <si>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</si>
  <si>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</si>
  <si>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</si>
  <si>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</si>
  <si>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</si>
  <si>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</si>
  <si>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</si>
  <si>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</si>
  <si>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</si>
  <si>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</si>
  <si>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</si>
  <si>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</si>
  <si>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</si>
  <si>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</si>
  <si>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</si>
  <si>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</si>
  <si>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</si>
  <si>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</si>
  <si>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 Capacity Bidding Program reports the number of nominations not enrollments.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</si>
  <si>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</si>
  <si>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</si>
  <si>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</si>
  <si>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</si>
  <si>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</si>
  <si>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</si>
  <si>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</si>
  <si>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</si>
  <si>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</si>
  <si>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</si>
  <si>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</si>
  <si>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</si>
  <si>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</si>
  <si>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</si>
  <si>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</si>
  <si>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</si>
  <si>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</si>
  <si>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</si>
  <si>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</si>
  <si>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</si>
  <si>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</si>
  <si>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</si>
  <si>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</si>
  <si>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</si>
  <si>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</si>
  <si>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</si>
  <si>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</si>
  <si>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</si>
  <si>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</si>
  <si>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</si>
  <si>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</si>
  <si>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</si>
  <si>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</si>
  <si>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</si>
  <si>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</si>
  <si>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</si>
  <si>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</si>
  <si>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</si>
  <si>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</si>
  <si>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</si>
  <si>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</si>
  <si>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</si>
  <si>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</si>
  <si>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</si>
  <si>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</si>
  <si>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</si>
  <si>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</si>
  <si>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</si>
  <si>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</si>
  <si>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</si>
  <si>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</si>
  <si>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</si>
  <si>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</si>
  <si>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</si>
  <si>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</si>
  <si>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</si>
  <si>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</si>
  <si>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</si>
  <si>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</si>
  <si>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</si>
  <si>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</si>
  <si>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</si>
  <si>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</si>
  <si>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</si>
  <si>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</si>
  <si>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</si>
  <si>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</si>
  <si>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</si>
  <si>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</si>
  <si>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</si>
  <si>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</si>
  <si>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</si>
  <si>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Labor</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</si>
  <si>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</si>
  <si>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</si>
  <si>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</si>
  <si>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</si>
  <si>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</si>
  <si>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</si>
  <si>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</si>
  <si>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</si>
  <si>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</si>
  <si>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</si>
  <si>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</si>
  <si>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</si>
  <si>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</si>
  <si>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</si>
  <si>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</si>
  <si>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</si>
  <si>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</si>
  <si>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</si>
  <si>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</si>
  <si>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</si>
  <si>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</si>
  <si>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</si>
  <si>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</si>
  <si>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</si>
  <si>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</si>
  <si>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</si>
  <si>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</si>
  <si>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</si>
  <si>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</si>
  <si>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</si>
  <si>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</si>
  <si>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</si>
  <si>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</si>
  <si>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</si>
  <si>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</si>
  <si>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</si>
  <si>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</si>
  <si>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</si>
  <si>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</si>
  <si>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</si>
  <si>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</si>
  <si>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</si>
  <si>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</si>
  <si>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</si>
  <si>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</si>
  <si>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</si>
  <si>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</si>
  <si>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</si>
  <si>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</si>
  <si>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</si>
  <si>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</si>
  <si>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</si>
  <si>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</si>
  <si>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</si>
  <si>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</si>
  <si>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</si>
  <si>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</si>
  <si>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</si>
  <si>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</si>
  <si>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</si>
  <si>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</si>
  <si>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</si>
  <si>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</si>
  <si>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</si>
  <si>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</si>
  <si>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</si>
  <si>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</si>
  <si>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</si>
  <si>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</si>
  <si>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t>Local Capacity Requirements (LCR)</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</si>
  <si>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</si>
  <si>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</si>
  <si>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</si>
  <si>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</si>
  <si>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</si>
  <si>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</si>
  <si>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</si>
  <si>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</si>
  <si>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</si>
  <si>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</si>
  <si>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</si>
  <si>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</si>
  <si>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</si>
  <si>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</si>
  <si>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</si>
  <si>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</si>
  <si>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</si>
  <si>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</si>
  <si>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</si>
  <si>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</si>
  <si>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</si>
  <si>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</si>
  <si>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</si>
  <si>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</si>
  <si>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</si>
  <si>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</si>
  <si>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</si>
  <si>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</si>
  <si>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</si>
  <si>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</si>
  <si>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</si>
  <si>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</si>
  <si>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</si>
  <si>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</si>
  <si>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</si>
  <si>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</si>
  <si>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</si>
  <si>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</si>
  <si>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</si>
  <si>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</si>
  <si>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</si>
  <si>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January 2021</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</si>
  <si>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</si>
  <si>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</si>
  <si>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</si>
  <si>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</si>
  <si>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</si>
  <si>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</si>
  <si>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</si>
  <si>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</si>
  <si>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</si>
  <si>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</si>
  <si>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xml:space="preserve">- The Ex-Ante average per customer estimates are based on Program Year 2019 SDG&amp;E DR Load Impacts report filed April 1st, 2020 for the months of January and February. </t>
  </si>
  <si>
    <t>-  CPP-D, TOU-DR-P (Voluntary Residential) and TOU-A-P (Small Commercial) ex-ante estimates include Technology Deployment (TD).</t>
  </si>
  <si>
    <t xml:space="preserve">-  The Ex-Post average per customer estimates are based on Program Year 2020 draft SDG&amp;E DR Load Impacts report for the months of January and February. </t>
  </si>
  <si>
    <t>- The TOU-PA-P Agricultural Ex-Post average per customer estimates are based on Program Year 2020 draft SDG&amp;E DR Load Impacts report for the months of January and February. The draft ex-post estimates show an increase load impact of (-0.06kW) - therefore the estimates were converted to zero.</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</si>
  <si>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</si>
  <si>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</si>
  <si>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</si>
  <si>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</si>
  <si>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</si>
  <si>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</si>
  <si>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r>
      <t>Technology Incentives</t>
    </r>
    <r>
      <rPr>
        <vertAlign val="superscript"/>
        <sz val="10"/>
        <color rgb="FFFF0000"/>
        <rFont val="Arial"/>
        <family val="2"/>
      </rPr>
      <t xml:space="preserve"> </t>
    </r>
  </si>
  <si>
    <r>
      <t>Smart Pricing</t>
    </r>
    <r>
      <rPr>
        <vertAlign val="superscript"/>
        <sz val="10"/>
        <color rgb="FFFF0000"/>
        <rFont val="Arial"/>
        <family val="2"/>
      </rPr>
      <t xml:space="preserve"> </t>
    </r>
    <r>
      <rPr>
        <sz val="10"/>
        <rFont val="Arial"/>
        <family val="2"/>
      </rPr>
      <t xml:space="preserve"> </t>
    </r>
  </si>
  <si>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</si>
  <si>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</si>
  <si>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</si>
  <si>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</si>
  <si>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</si>
  <si>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</si>
  <si>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</si>
  <si>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t>Demand Response Auction Mechanism Pilot (DRAM)</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</si>
  <si>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</si>
  <si>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</si>
  <si>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</si>
  <si>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SW-COM</t>
    </r>
    <r>
      <rPr>
        <vertAlign val="superscript"/>
        <sz val="9"/>
        <color rgb="FFFF0000"/>
        <rFont val="Arial"/>
        <family val="2"/>
      </rPr>
      <t xml:space="preserve"> </t>
    </r>
  </si>
  <si>
    <r>
      <t>SW-IND</t>
    </r>
    <r>
      <rPr>
        <b/>
        <vertAlign val="superscript"/>
        <sz val="9"/>
        <color rgb="FFFF0000"/>
        <rFont val="Arial"/>
        <family val="2"/>
      </rPr>
      <t xml:space="preserve"> </t>
    </r>
  </si>
  <si>
    <t xml:space="preserve">IDSM DR COM </t>
  </si>
  <si>
    <t xml:space="preserve">Behavioral </t>
  </si>
  <si>
    <r>
      <t>Demand Response Auction Mechanism (DRAM)</t>
    </r>
    <r>
      <rPr>
        <vertAlign val="superscript"/>
        <sz val="9"/>
        <color rgb="FFFF0000"/>
        <rFont val="Arial"/>
        <family val="2"/>
      </rPr>
      <t xml:space="preserve"> </t>
    </r>
  </si>
  <si>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</si>
  <si>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</si>
  <si>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</si>
  <si>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</si>
  <si>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</si>
  <si>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</si>
  <si>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</si>
  <si>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</si>
  <si>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</si>
  <si>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</si>
  <si>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t>Program Cycle to Date</t>
  </si>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</sst>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vertAlign val="superscript"/>
      <sz val="11"/>
      <name val="Arial"/>
      <family val="2"/>
    </font>
    <font>
      <strike/>
      <sz val="10"/>
      <name val="Arial"/>
      <family val="2"/>
    </font>
    <font>
      <vertAlign val="superscript"/>
      <sz val="11"/>
      <name val="Arial"/>
      <family val="2"/>
    </font>
    <font>
      <sz val="11"/>
      <name val="Cambria"/>
      <family val="1"/>
    </font>
    <font>
      <sz val="9"/>
      <name val="Cambria"/>
      <family val="1"/>
    </font>
    <font>
      <sz val="10"/>
      <color rgb="FFFF0000"/>
      <name val="Arial"/>
      <family val="2"/>
    </font>
  </fonts>
  <fills count="12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s>
  <cellStyleXfs count="3314">
    <xf numFmtId="175" fontId="0"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5" borderId="0" applyNumberFormat="0" applyBorder="0" applyAlignment="0" applyProtection="0"/>
    <xf numFmtId="175" fontId="20" fillId="16" borderId="0" applyNumberFormat="0" applyBorder="0" applyAlignment="0" applyProtection="0"/>
    <xf numFmtId="175" fontId="21" fillId="17" borderId="0" applyNumberFormat="0" applyBorder="0" applyAlignment="0" applyProtection="0"/>
    <xf numFmtId="175" fontId="21" fillId="18" borderId="0" applyNumberFormat="0" applyBorder="0" applyAlignment="0" applyProtection="0"/>
    <xf numFmtId="175" fontId="20" fillId="19" borderId="0" applyNumberFormat="0" applyBorder="0" applyAlignment="0" applyProtection="0"/>
    <xf numFmtId="175" fontId="20" fillId="19" borderId="0" applyNumberFormat="0" applyBorder="0" applyAlignment="0" applyProtection="0"/>
    <xf numFmtId="175" fontId="21" fillId="20" borderId="0" applyNumberFormat="0" applyBorder="0" applyAlignment="0" applyProtection="0"/>
    <xf numFmtId="175" fontId="21" fillId="21" borderId="0" applyNumberFormat="0" applyBorder="0" applyAlignment="0" applyProtection="0"/>
    <xf numFmtId="175" fontId="20" fillId="22" borderId="0" applyNumberFormat="0" applyBorder="0" applyAlignment="0" applyProtection="0"/>
    <xf numFmtId="175" fontId="20" fillId="23" borderId="0" applyNumberFormat="0" applyBorder="0" applyAlignment="0" applyProtection="0"/>
    <xf numFmtId="175" fontId="21" fillId="21" borderId="0" applyNumberFormat="0" applyBorder="0" applyAlignment="0" applyProtection="0"/>
    <xf numFmtId="175" fontId="21" fillId="22" borderId="0" applyNumberFormat="0" applyBorder="0" applyAlignment="0" applyProtection="0"/>
    <xf numFmtId="175" fontId="20" fillId="22" borderId="0" applyNumberFormat="0" applyBorder="0" applyAlignment="0" applyProtection="0"/>
    <xf numFmtId="175" fontId="20" fillId="24"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4" borderId="0" applyNumberFormat="0" applyBorder="0" applyAlignment="0" applyProtection="0"/>
    <xf numFmtId="175" fontId="20" fillId="25" borderId="0" applyNumberFormat="0" applyBorder="0" applyAlignment="0" applyProtection="0"/>
    <xf numFmtId="175" fontId="21" fillId="26" borderId="0" applyNumberFormat="0" applyBorder="0" applyAlignment="0" applyProtection="0"/>
    <xf numFmtId="175" fontId="21" fillId="18" borderId="0" applyNumberFormat="0" applyBorder="0" applyAlignment="0" applyProtection="0"/>
    <xf numFmtId="175" fontId="20" fillId="27"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43" fontId="49" fillId="0" borderId="0" applyFont="0" applyFill="0" applyBorder="0" applyAlignment="0" applyProtection="0"/>
    <xf numFmtId="43" fontId="14" fillId="0" borderId="0" applyFont="0" applyFill="0" applyBorder="0" applyAlignment="0" applyProtection="0"/>
    <xf numFmtId="44" fontId="49"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175" fontId="25" fillId="29" borderId="0" applyNumberFormat="0" applyBorder="0" applyAlignment="0" applyProtection="0"/>
    <xf numFmtId="175" fontId="25" fillId="30" borderId="0" applyNumberFormat="0" applyBorder="0" applyAlignment="0" applyProtection="0"/>
    <xf numFmtId="175" fontId="25" fillId="31" borderId="0" applyNumberFormat="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0" borderId="0"/>
    <xf numFmtId="175" fontId="16" fillId="0" borderId="0"/>
    <xf numFmtId="175" fontId="14" fillId="26" borderId="7" applyNumberFormat="0" applyFont="0" applyAlignment="0" applyProtection="0"/>
    <xf numFmtId="175" fontId="34" fillId="28" borderId="8" applyNumberFormat="0" applyAlignment="0" applyProtection="0"/>
    <xf numFmtId="9" fontId="49" fillId="0" borderId="0" applyFont="0" applyFill="0" applyBorder="0" applyAlignment="0" applyProtection="0"/>
    <xf numFmtId="9" fontId="14" fillId="0" borderId="0" applyFont="0" applyFill="0" applyBorder="0" applyAlignment="0" applyProtection="0"/>
    <xf numFmtId="4" fontId="35" fillId="33" borderId="9" applyNumberFormat="0" applyProtection="0">
      <alignment vertical="center"/>
    </xf>
    <xf numFmtId="4" fontId="36" fillId="33" borderId="9" applyNumberFormat="0" applyProtection="0">
      <alignment vertical="center"/>
    </xf>
    <xf numFmtId="4" fontId="35" fillId="33" borderId="9" applyNumberFormat="0" applyProtection="0">
      <alignment horizontal="left" vertical="center" indent="1"/>
    </xf>
    <xf numFmtId="175" fontId="35" fillId="33" borderId="9" applyNumberFormat="0" applyProtection="0">
      <alignment horizontal="left" vertical="top" indent="1"/>
    </xf>
    <xf numFmtId="4" fontId="35" fillId="2" borderId="0" applyNumberFormat="0" applyProtection="0">
      <alignment horizontal="left" vertical="center" indent="1"/>
    </xf>
    <xf numFmtId="4" fontId="18" fillId="7" borderId="9" applyNumberFormat="0" applyProtection="0">
      <alignment horizontal="right" vertical="center"/>
    </xf>
    <xf numFmtId="4" fontId="18" fillId="3" borderId="9" applyNumberFormat="0" applyProtection="0">
      <alignment horizontal="right" vertical="center"/>
    </xf>
    <xf numFmtId="4" fontId="18" fillId="34" borderId="9" applyNumberFormat="0" applyProtection="0">
      <alignment horizontal="right" vertical="center"/>
    </xf>
    <xf numFmtId="4" fontId="18" fillId="35" borderId="9" applyNumberFormat="0" applyProtection="0">
      <alignment horizontal="right" vertical="center"/>
    </xf>
    <xf numFmtId="4" fontId="18" fillId="36" borderId="9" applyNumberFormat="0" applyProtection="0">
      <alignment horizontal="right" vertical="center"/>
    </xf>
    <xf numFmtId="4" fontId="18" fillId="37" borderId="9" applyNumberFormat="0" applyProtection="0">
      <alignment horizontal="right" vertical="center"/>
    </xf>
    <xf numFmtId="4" fontId="18" fillId="9" borderId="9" applyNumberFormat="0" applyProtection="0">
      <alignment horizontal="right" vertical="center"/>
    </xf>
    <xf numFmtId="4" fontId="18" fillId="38" borderId="9" applyNumberFormat="0" applyProtection="0">
      <alignment horizontal="right" vertical="center"/>
    </xf>
    <xf numFmtId="4" fontId="18" fillId="39" borderId="9" applyNumberFormat="0" applyProtection="0">
      <alignment horizontal="right" vertical="center"/>
    </xf>
    <xf numFmtId="4" fontId="35" fillId="40" borderId="10"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9" applyNumberFormat="0" applyProtection="0">
      <alignment horizontal="right" vertical="center"/>
    </xf>
    <xf numFmtId="4" fontId="16" fillId="41" borderId="0" applyNumberFormat="0" applyProtection="0">
      <alignment horizontal="left" vertical="center" indent="1"/>
    </xf>
    <xf numFmtId="4" fontId="16" fillId="2" borderId="0" applyNumberFormat="0" applyProtection="0">
      <alignment horizontal="left" vertical="center" indent="1"/>
    </xf>
    <xf numFmtId="175" fontId="14" fillId="8" borderId="9" applyNumberFormat="0" applyProtection="0">
      <alignment horizontal="left" vertical="center" indent="1"/>
    </xf>
    <xf numFmtId="175" fontId="14" fillId="8" borderId="9" applyNumberFormat="0" applyProtection="0">
      <alignment horizontal="left" vertical="top" indent="1"/>
    </xf>
    <xf numFmtId="175" fontId="14" fillId="2" borderId="9" applyNumberFormat="0" applyProtection="0">
      <alignment horizontal="left" vertical="center" indent="1"/>
    </xf>
    <xf numFmtId="175" fontId="14" fillId="2" borderId="9" applyNumberFormat="0" applyProtection="0">
      <alignment horizontal="left" vertical="top" indent="1"/>
    </xf>
    <xf numFmtId="175" fontId="14" fillId="6" borderId="9" applyNumberFormat="0" applyProtection="0">
      <alignment horizontal="left" vertical="center" indent="1"/>
    </xf>
    <xf numFmtId="175" fontId="14" fillId="6" borderId="9" applyNumberFormat="0" applyProtection="0">
      <alignment horizontal="left" vertical="top" indent="1"/>
    </xf>
    <xf numFmtId="175" fontId="14" fillId="41" borderId="9" applyNumberFormat="0" applyProtection="0">
      <alignment horizontal="left" vertical="center" indent="1"/>
    </xf>
    <xf numFmtId="175" fontId="14" fillId="41" borderId="9" applyNumberFormat="0" applyProtection="0">
      <alignment horizontal="left" vertical="top" indent="1"/>
    </xf>
    <xf numFmtId="175" fontId="14" fillId="5" borderId="11" applyNumberFormat="0">
      <protection locked="0"/>
    </xf>
    <xf numFmtId="4" fontId="18" fillId="4" borderId="9" applyNumberFormat="0" applyProtection="0">
      <alignment vertical="center"/>
    </xf>
    <xf numFmtId="4" fontId="38" fillId="4" borderId="9" applyNumberFormat="0" applyProtection="0">
      <alignment vertical="center"/>
    </xf>
    <xf numFmtId="4" fontId="18" fillId="4" borderId="9" applyNumberFormat="0" applyProtection="0">
      <alignment horizontal="left" vertical="center" indent="1"/>
    </xf>
    <xf numFmtId="175" fontId="18" fillId="4" borderId="9" applyNumberFormat="0" applyProtection="0">
      <alignment horizontal="left" vertical="top" indent="1"/>
    </xf>
    <xf numFmtId="4" fontId="18" fillId="41" borderId="9" applyNumberFormat="0" applyProtection="0">
      <alignment horizontal="right" vertical="center"/>
    </xf>
    <xf numFmtId="4" fontId="38" fillId="41" borderId="9" applyNumberFormat="0" applyProtection="0">
      <alignment horizontal="right" vertical="center"/>
    </xf>
    <xf numFmtId="4" fontId="18" fillId="2" borderId="9" applyNumberFormat="0" applyProtection="0">
      <alignment horizontal="left" vertical="center" indent="1"/>
    </xf>
    <xf numFmtId="175" fontId="18" fillId="2" borderId="9" applyNumberFormat="0" applyProtection="0">
      <alignment horizontal="left" vertical="top" indent="1"/>
    </xf>
    <xf numFmtId="4" fontId="39" fillId="42" borderId="0" applyNumberFormat="0" applyProtection="0">
      <alignment horizontal="left" vertical="center" indent="1"/>
    </xf>
    <xf numFmtId="4" fontId="40" fillId="41" borderId="9" applyNumberFormat="0" applyProtection="0">
      <alignment horizontal="right" vertical="center"/>
    </xf>
    <xf numFmtId="175" fontId="41" fillId="0" borderId="0" applyNumberFormat="0" applyFill="0" applyBorder="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44" fontId="14" fillId="0" borderId="0" applyFont="0" applyFill="0" applyBorder="0" applyAlignment="0" applyProtection="0"/>
    <xf numFmtId="4" fontId="16" fillId="7" borderId="9" applyNumberFormat="0" applyProtection="0">
      <alignment horizontal="right" vertical="center"/>
    </xf>
    <xf numFmtId="4" fontId="16" fillId="3" borderId="9" applyNumberFormat="0" applyProtection="0">
      <alignment horizontal="right" vertical="center"/>
    </xf>
    <xf numFmtId="4" fontId="16" fillId="34" borderId="9" applyNumberFormat="0" applyProtection="0">
      <alignment horizontal="right" vertical="center"/>
    </xf>
    <xf numFmtId="4" fontId="16" fillId="35" borderId="9" applyNumberFormat="0" applyProtection="0">
      <alignment horizontal="right" vertical="center"/>
    </xf>
    <xf numFmtId="4" fontId="16" fillId="36" borderId="9" applyNumberFormat="0" applyProtection="0">
      <alignment horizontal="right" vertical="center"/>
    </xf>
    <xf numFmtId="4" fontId="16" fillId="37" borderId="9" applyNumberFormat="0" applyProtection="0">
      <alignment horizontal="right" vertical="center"/>
    </xf>
    <xf numFmtId="4" fontId="16" fillId="9" borderId="9" applyNumberFormat="0" applyProtection="0">
      <alignment horizontal="right" vertical="center"/>
    </xf>
    <xf numFmtId="4" fontId="16" fillId="38" borderId="9" applyNumberFormat="0" applyProtection="0">
      <alignment horizontal="right" vertical="center"/>
    </xf>
    <xf numFmtId="4" fontId="16" fillId="39" borderId="9" applyNumberFormat="0" applyProtection="0">
      <alignment horizontal="right" vertical="center"/>
    </xf>
    <xf numFmtId="4" fontId="16" fillId="41" borderId="0" applyNumberFormat="0" applyProtection="0">
      <alignment horizontal="left" vertical="center" indent="1"/>
    </xf>
    <xf numFmtId="4" fontId="16" fillId="2" borderId="9" applyNumberFormat="0" applyProtection="0">
      <alignment horizontal="right" vertical="center"/>
    </xf>
    <xf numFmtId="4" fontId="16" fillId="4" borderId="9" applyNumberFormat="0" applyProtection="0">
      <alignment vertical="center"/>
    </xf>
    <xf numFmtId="4" fontId="16" fillId="4" borderId="9" applyNumberFormat="0" applyProtection="0">
      <alignment horizontal="left" vertical="center" indent="1"/>
    </xf>
    <xf numFmtId="175" fontId="16" fillId="4" borderId="9" applyNumberFormat="0" applyProtection="0">
      <alignment horizontal="left" vertical="top" indent="1"/>
    </xf>
    <xf numFmtId="4" fontId="16" fillId="41" borderId="9" applyNumberFormat="0" applyProtection="0">
      <alignment horizontal="right" vertical="center"/>
    </xf>
    <xf numFmtId="4" fontId="16" fillId="2" borderId="9" applyNumberFormat="0" applyProtection="0">
      <alignment horizontal="left" vertical="center" indent="1"/>
    </xf>
    <xf numFmtId="175" fontId="16" fillId="2" borderId="9" applyNumberFormat="0" applyProtection="0">
      <alignment horizontal="left" vertical="top" indent="1"/>
    </xf>
    <xf numFmtId="9" fontId="56" fillId="0" borderId="0" applyFont="0" applyFill="0" applyBorder="0" applyAlignment="0" applyProtection="0"/>
    <xf numFmtId="175" fontId="58" fillId="0" borderId="0"/>
    <xf numFmtId="175" fontId="13"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4" fillId="0" borderId="0"/>
    <xf numFmtId="175" fontId="12" fillId="0" borderId="0"/>
    <xf numFmtId="175" fontId="59"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2" fillId="0" borderId="0"/>
    <xf numFmtId="175" fontId="11"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1" fillId="0" borderId="0"/>
    <xf numFmtId="175" fontId="11" fillId="0" borderId="0"/>
    <xf numFmtId="175" fontId="14" fillId="0" borderId="0"/>
    <xf numFmtId="175" fontId="11" fillId="0" borderId="0"/>
    <xf numFmtId="175" fontId="10"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9" fillId="0" borderId="0"/>
    <xf numFmtId="175" fontId="8" fillId="0" borderId="0"/>
    <xf numFmtId="175" fontId="61"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14" fillId="0" borderId="0"/>
    <xf numFmtId="175" fontId="7" fillId="0" borderId="0"/>
    <xf numFmtId="0" fontId="6"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14"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5"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4" fillId="0" borderId="0"/>
    <xf numFmtId="175" fontId="73"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7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14"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14" fillId="0" borderId="0"/>
    <xf numFmtId="0" fontId="2" fillId="0" borderId="0"/>
    <xf numFmtId="4" fontId="43" fillId="0" borderId="69" applyNumberFormat="0" applyProtection="0">
      <alignment horizontal="right" vertical="center"/>
    </xf>
    <xf numFmtId="4" fontId="43" fillId="51" borderId="69" applyNumberFormat="0" applyProtection="0">
      <alignment horizontal="left" vertical="center" indent="1"/>
    </xf>
    <xf numFmtId="43" fontId="2" fillId="0" borderId="0" applyFont="0" applyFill="0" applyBorder="0" applyAlignment="0" applyProtection="0"/>
    <xf numFmtId="0" fontId="1" fillId="0" borderId="0"/>
    <xf numFmtId="0" fontId="1" fillId="66" borderId="0" applyNumberFormat="0" applyBorder="0" applyAlignment="0" applyProtection="0"/>
    <xf numFmtId="0" fontId="1" fillId="7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103" fillId="76" borderId="0" applyNumberFormat="0" applyBorder="0" applyAlignment="0" applyProtection="0"/>
    <xf numFmtId="0" fontId="1" fillId="74" borderId="0" applyNumberFormat="0" applyBorder="0" applyAlignment="0" applyProtection="0"/>
    <xf numFmtId="0" fontId="1" fillId="73" borderId="0" applyNumberFormat="0" applyBorder="0" applyAlignment="0" applyProtection="0"/>
    <xf numFmtId="0" fontId="103" fillId="72"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 fillId="65" borderId="0" applyNumberFormat="0" applyBorder="0" applyAlignment="0" applyProtection="0"/>
    <xf numFmtId="0" fontId="102" fillId="0" borderId="82" applyNumberFormat="0" applyFill="0" applyAlignment="0" applyProtection="0"/>
    <xf numFmtId="0" fontId="101" fillId="0" borderId="0" applyNumberFormat="0" applyFill="0" applyBorder="0" applyAlignment="0" applyProtection="0"/>
    <xf numFmtId="0" fontId="97" fillId="57" borderId="77" applyNumberFormat="0" applyAlignment="0" applyProtection="0"/>
    <xf numFmtId="0" fontId="93" fillId="53" borderId="0" applyNumberFormat="0" applyBorder="0" applyAlignment="0" applyProtection="0"/>
    <xf numFmtId="0" fontId="35" fillId="33" borderId="9" applyNumberFormat="0" applyProtection="0">
      <alignment horizontal="left" vertical="top" indent="1"/>
    </xf>
    <xf numFmtId="0" fontId="92" fillId="0" borderId="0" applyNumberFormat="0" applyFill="0" applyBorder="0" applyAlignment="0" applyProtection="0"/>
    <xf numFmtId="0" fontId="92" fillId="0" borderId="76" applyNumberFormat="0" applyFill="0" applyAlignment="0" applyProtection="0"/>
    <xf numFmtId="0" fontId="91" fillId="0" borderId="75" applyNumberFormat="0" applyFill="0" applyAlignment="0" applyProtection="0"/>
    <xf numFmtId="0" fontId="90" fillId="0" borderId="74" applyNumberFormat="0" applyFill="0" applyAlignment="0" applyProtection="0"/>
    <xf numFmtId="43" fontId="14" fillId="0" borderId="0" applyFont="0" applyFill="0" applyBorder="0" applyAlignment="0" applyProtection="0"/>
    <xf numFmtId="0" fontId="103" fillId="64" borderId="0" applyNumberFormat="0" applyBorder="0" applyAlignment="0" applyProtection="0"/>
    <xf numFmtId="0" fontId="1" fillId="61" borderId="0" applyNumberFormat="0" applyBorder="0" applyAlignment="0" applyProtection="0"/>
    <xf numFmtId="0" fontId="14" fillId="8" borderId="9" applyNumberFormat="0" applyProtection="0">
      <alignment horizontal="left" vertical="center" indent="1"/>
    </xf>
    <xf numFmtId="0" fontId="14" fillId="8" borderId="9" applyNumberFormat="0" applyProtection="0">
      <alignment horizontal="left" vertical="top" indent="1"/>
    </xf>
    <xf numFmtId="0" fontId="14" fillId="2" borderId="9" applyNumberFormat="0" applyProtection="0">
      <alignment horizontal="left" vertical="center" indent="1"/>
    </xf>
    <xf numFmtId="0" fontId="14" fillId="2" borderId="9" applyNumberFormat="0" applyProtection="0">
      <alignment horizontal="left" vertical="top" indent="1"/>
    </xf>
    <xf numFmtId="0" fontId="14" fillId="6" borderId="9" applyNumberFormat="0" applyProtection="0">
      <alignment horizontal="left" vertical="center" indent="1"/>
    </xf>
    <xf numFmtId="0" fontId="14" fillId="6" borderId="9" applyNumberFormat="0" applyProtection="0">
      <alignment horizontal="left" vertical="top" indent="1"/>
    </xf>
    <xf numFmtId="0" fontId="14" fillId="41" borderId="9" applyNumberFormat="0" applyProtection="0">
      <alignment horizontal="left" vertical="center" indent="1"/>
    </xf>
    <xf numFmtId="0" fontId="14" fillId="41" borderId="9" applyNumberFormat="0" applyProtection="0">
      <alignment horizontal="left" vertical="top" indent="1"/>
    </xf>
    <xf numFmtId="0" fontId="14" fillId="5" borderId="11" applyNumberFormat="0">
      <protection locked="0"/>
    </xf>
    <xf numFmtId="0" fontId="1" fillId="61" borderId="0" applyNumberFormat="0" applyBorder="0" applyAlignment="0" applyProtection="0"/>
    <xf numFmtId="0" fontId="98" fillId="0" borderId="79" applyNumberFormat="0" applyFill="0" applyAlignment="0" applyProtection="0"/>
    <xf numFmtId="0" fontId="1" fillId="62" borderId="0" applyNumberFormat="0" applyBorder="0" applyAlignment="0" applyProtection="0"/>
    <xf numFmtId="0" fontId="16" fillId="4" borderId="9" applyNumberFormat="0" applyProtection="0">
      <alignment horizontal="left" vertical="top" indent="1"/>
    </xf>
    <xf numFmtId="0" fontId="1" fillId="61" borderId="0" applyNumberFormat="0" applyBorder="0" applyAlignment="0" applyProtection="0"/>
    <xf numFmtId="0" fontId="1" fillId="61" borderId="0" applyNumberFormat="0" applyBorder="0" applyAlignment="0" applyProtection="0"/>
    <xf numFmtId="0" fontId="94" fillId="54" borderId="0" applyNumberFormat="0" applyBorder="0" applyAlignment="0" applyProtection="0"/>
    <xf numFmtId="0" fontId="16" fillId="2" borderId="9" applyNumberFormat="0" applyProtection="0">
      <alignment horizontal="left" vertical="top" indent="1"/>
    </xf>
    <xf numFmtId="0" fontId="103" fillId="64" borderId="0" applyNumberFormat="0" applyBorder="0" applyAlignment="0" applyProtection="0"/>
    <xf numFmtId="0" fontId="103" fillId="60" borderId="0" applyNumberFormat="0" applyBorder="0" applyAlignment="0" applyProtection="0"/>
    <xf numFmtId="0" fontId="41" fillId="0" borderId="0" applyNumberFormat="0" applyFill="0" applyBorder="0" applyAlignment="0" applyProtection="0"/>
    <xf numFmtId="0" fontId="103" fillId="68" borderId="0" applyNumberFormat="0" applyBorder="0" applyAlignment="0" applyProtection="0"/>
    <xf numFmtId="0" fontId="1" fillId="69"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03" fillId="80" borderId="0" applyNumberFormat="0" applyBorder="0" applyAlignment="0" applyProtection="0"/>
    <xf numFmtId="0" fontId="1" fillId="8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21" fillId="85" borderId="0" applyNumberFormat="0" applyBorder="0" applyAlignment="0" applyProtection="0"/>
    <xf numFmtId="0" fontId="21" fillId="8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21" fillId="86" borderId="0" applyNumberFormat="0" applyBorder="0" applyAlignment="0" applyProtection="0"/>
    <xf numFmtId="0" fontId="1" fillId="61" borderId="0" applyNumberFormat="0" applyBorder="0" applyAlignment="0" applyProtection="0"/>
    <xf numFmtId="0" fontId="1" fillId="82" borderId="0" applyNumberFormat="0" applyBorder="0" applyAlignment="0" applyProtection="0"/>
    <xf numFmtId="0" fontId="1" fillId="0" borderId="0"/>
    <xf numFmtId="0" fontId="100" fillId="0" borderId="0" applyNumberFormat="0" applyFill="0" applyBorder="0" applyAlignment="0" applyProtection="0"/>
    <xf numFmtId="0" fontId="99" fillId="58" borderId="80" applyNumberFormat="0" applyAlignment="0" applyProtection="0"/>
    <xf numFmtId="0" fontId="21" fillId="7" borderId="0" applyNumberFormat="0" applyBorder="0" applyAlignment="0" applyProtection="0"/>
    <xf numFmtId="0" fontId="21" fillId="84" borderId="0" applyNumberFormat="0" applyBorder="0" applyAlignment="0" applyProtection="0"/>
    <xf numFmtId="0" fontId="21" fillId="84" borderId="0" applyNumberFormat="0" applyBorder="0" applyAlignment="0" applyProtection="0"/>
    <xf numFmtId="0" fontId="96" fillId="57" borderId="78" applyNumberFormat="0" applyAlignment="0" applyProtection="0"/>
    <xf numFmtId="0" fontId="95" fillId="56" borderId="77" applyNumberFormat="0" applyAlignment="0" applyProtection="0"/>
    <xf numFmtId="0" fontId="21" fillId="7" borderId="0" applyNumberFormat="0" applyBorder="0" applyAlignment="0" applyProtection="0"/>
    <xf numFmtId="0" fontId="21" fillId="86"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21" fillId="87" borderId="0" applyNumberFormat="0" applyBorder="0" applyAlignment="0" applyProtection="0"/>
    <xf numFmtId="0" fontId="21" fillId="8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0" fillId="88" borderId="0" applyNumberFormat="0" applyBorder="0" applyAlignment="0" applyProtection="0"/>
    <xf numFmtId="0" fontId="20" fillId="3" borderId="0" applyNumberFormat="0" applyBorder="0" applyAlignment="0" applyProtection="0"/>
    <xf numFmtId="0" fontId="20" fillId="39" borderId="0" applyNumberFormat="0" applyBorder="0" applyAlignment="0" applyProtection="0"/>
    <xf numFmtId="0" fontId="20" fillId="89" borderId="0" applyNumberFormat="0" applyBorder="0" applyAlignment="0" applyProtection="0"/>
    <xf numFmtId="0" fontId="20" fillId="51" borderId="0" applyNumberFormat="0" applyBorder="0" applyAlignment="0" applyProtection="0"/>
    <xf numFmtId="0" fontId="20" fillId="36" borderId="0" applyNumberFormat="0" applyBorder="0" applyAlignment="0" applyProtection="0"/>
    <xf numFmtId="0" fontId="21" fillId="90" borderId="0" applyNumberFormat="0" applyBorder="0" applyAlignment="0" applyProtection="0"/>
    <xf numFmtId="0" fontId="21" fillId="90"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0" fillId="91" borderId="0" applyNumberFormat="0" applyBorder="0" applyAlignment="0" applyProtection="0"/>
    <xf numFmtId="0" fontId="20" fillId="1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xf numFmtId="0" fontId="20"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1" fillId="94" borderId="0" applyNumberFormat="0" applyBorder="0" applyAlignment="0" applyProtection="0"/>
    <xf numFmtId="0" fontId="21" fillId="94" borderId="0" applyNumberFormat="0" applyBorder="0" applyAlignment="0" applyProtection="0"/>
    <xf numFmtId="0" fontId="21" fillId="95" borderId="0" applyNumberFormat="0" applyBorder="0" applyAlignment="0" applyProtection="0"/>
    <xf numFmtId="0" fontId="21" fillId="95"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0" fillId="21" borderId="0" applyNumberFormat="0" applyBorder="0" applyAlignment="0" applyProtection="0"/>
    <xf numFmtId="0" fontId="20" fillId="98"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103" fillId="68" borderId="0" applyNumberFormat="0" applyBorder="0" applyAlignment="0" applyProtection="0"/>
    <xf numFmtId="0" fontId="20" fillId="91" borderId="0" applyNumberFormat="0" applyBorder="0" applyAlignment="0" applyProtection="0"/>
    <xf numFmtId="0" fontId="20" fillId="9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0" fillId="99" borderId="0" applyNumberFormat="0" applyBorder="0" applyAlignment="0" applyProtection="0"/>
    <xf numFmtId="0" fontId="20" fillId="100"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05" fillId="26" borderId="0" applyNumberFormat="0" applyBorder="0" applyAlignment="0" applyProtection="0"/>
    <xf numFmtId="0" fontId="94" fillId="54" borderId="0" applyNumberFormat="0" applyBorder="0" applyAlignment="0" applyProtection="0"/>
    <xf numFmtId="0" fontId="106" fillId="7" borderId="0" applyNumberFormat="0" applyBorder="0" applyAlignment="0" applyProtection="0"/>
    <xf numFmtId="0" fontId="107" fillId="101" borderId="69" applyNumberFormat="0" applyAlignment="0" applyProtection="0"/>
    <xf numFmtId="0" fontId="108" fillId="10" borderId="1" applyNumberFormat="0" applyAlignment="0" applyProtection="0"/>
    <xf numFmtId="0" fontId="24" fillId="98" borderId="2" applyNumberFormat="0" applyAlignment="0" applyProtection="0"/>
    <xf numFmtId="0" fontId="24" fillId="102" borderId="2" applyNumberFormat="0" applyAlignment="0" applyProtection="0"/>
    <xf numFmtId="41"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0" fontId="103" fillId="60"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5" fillId="103" borderId="0" applyNumberFormat="0" applyBorder="0" applyAlignment="0" applyProtection="0"/>
    <xf numFmtId="0" fontId="25" fillId="104" borderId="0" applyNumberFormat="0" applyBorder="0" applyAlignment="0" applyProtection="0"/>
    <xf numFmtId="0" fontId="110" fillId="0" borderId="0" applyNumberFormat="0" applyFill="0" applyBorder="0" applyAlignment="0" applyProtection="0"/>
    <xf numFmtId="0" fontId="21" fillId="95" borderId="0" applyNumberFormat="0" applyBorder="0" applyAlignment="0" applyProtection="0"/>
    <xf numFmtId="0" fontId="27" fillId="85" borderId="0" applyNumberFormat="0" applyBorder="0" applyAlignment="0" applyProtection="0"/>
    <xf numFmtId="0" fontId="21" fillId="95" borderId="0" applyNumberFormat="0" applyBorder="0" applyAlignment="0" applyProtection="0"/>
    <xf numFmtId="0" fontId="28" fillId="0" borderId="3" applyNumberFormat="0" applyFill="0" applyAlignment="0" applyProtection="0"/>
    <xf numFmtId="0" fontId="111" fillId="0" borderId="84" applyNumberFormat="0" applyFill="0" applyAlignment="0" applyProtection="0"/>
    <xf numFmtId="0" fontId="29" fillId="0" borderId="85" applyNumberFormat="0" applyFill="0" applyAlignment="0" applyProtection="0"/>
    <xf numFmtId="0" fontId="112" fillId="0" borderId="4" applyNumberFormat="0" applyFill="0" applyAlignment="0" applyProtection="0"/>
    <xf numFmtId="0" fontId="30" fillId="0" borderId="86" applyNumberFormat="0" applyFill="0" applyAlignment="0" applyProtection="0"/>
    <xf numFmtId="0" fontId="113" fillId="0" borderId="87" applyNumberFormat="0" applyFill="0" applyAlignment="0" applyProtection="0"/>
    <xf numFmtId="0" fontId="30" fillId="0" borderId="0" applyNumberFormat="0" applyFill="0" applyBorder="0" applyAlignment="0" applyProtection="0"/>
    <xf numFmtId="0" fontId="113" fillId="0" borderId="0" applyNumberFormat="0" applyFill="0" applyBorder="0" applyAlignment="0" applyProtection="0"/>
    <xf numFmtId="0" fontId="31" fillId="27" borderId="69" applyNumberFormat="0" applyAlignment="0" applyProtection="0"/>
    <xf numFmtId="0" fontId="114" fillId="11" borderId="1" applyNumberFormat="0" applyAlignment="0" applyProtection="0"/>
    <xf numFmtId="0" fontId="27" fillId="0" borderId="88" applyNumberFormat="0" applyFill="0" applyAlignment="0" applyProtection="0"/>
    <xf numFmtId="0" fontId="115" fillId="0" borderId="89" applyNumberFormat="0" applyFill="0" applyAlignment="0" applyProtection="0"/>
    <xf numFmtId="0" fontId="27" fillId="27" borderId="0" applyNumberFormat="0" applyBorder="0" applyAlignment="0" applyProtection="0"/>
    <xf numFmtId="0" fontId="104" fillId="55" borderId="0" applyNumberFormat="0" applyBorder="0" applyAlignment="0" applyProtection="0"/>
    <xf numFmtId="0" fontId="33" fillId="33" borderId="0" applyNumberFormat="0" applyBorder="0" applyAlignment="0" applyProtection="0"/>
    <xf numFmtId="0" fontId="1" fillId="0" borderId="0"/>
    <xf numFmtId="0" fontId="1" fillId="0" borderId="0"/>
    <xf numFmtId="0" fontId="109" fillId="0" borderId="0"/>
    <xf numFmtId="0" fontId="109" fillId="0" borderId="0"/>
    <xf numFmtId="0" fontId="14" fillId="0" borderId="0"/>
    <xf numFmtId="0" fontId="109" fillId="0" borderId="0"/>
    <xf numFmtId="0" fontId="109"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21" fillId="0" borderId="0"/>
    <xf numFmtId="0" fontId="21" fillId="0"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43" fillId="105" borderId="0"/>
    <xf numFmtId="0" fontId="21" fillId="0" borderId="0"/>
    <xf numFmtId="0" fontId="14" fillId="0" borderId="0"/>
    <xf numFmtId="0" fontId="14" fillId="0" borderId="0"/>
    <xf numFmtId="0" fontId="21" fillId="0" borderId="0"/>
    <xf numFmtId="0" fontId="21" fillId="0" borderId="0"/>
    <xf numFmtId="0" fontId="43" fillId="105"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59" borderId="81" applyNumberFormat="0" applyFont="0" applyAlignment="0" applyProtection="0"/>
    <xf numFmtId="0" fontId="16" fillId="4" borderId="7" applyNumberFormat="0" applyFont="0" applyAlignment="0" applyProtection="0"/>
    <xf numFmtId="0" fontId="21" fillId="59" borderId="81" applyNumberFormat="0" applyFont="0" applyAlignment="0" applyProtection="0"/>
    <xf numFmtId="0" fontId="43" fillId="26" borderId="69" applyNumberFormat="0" applyFont="0" applyAlignment="0" applyProtection="0"/>
    <xf numFmtId="0" fontId="21" fillId="59" borderId="81" applyNumberFormat="0" applyFont="0" applyAlignment="0" applyProtection="0"/>
    <xf numFmtId="0" fontId="21" fillId="59" borderId="81" applyNumberFormat="0" applyFont="0" applyAlignment="0" applyProtection="0"/>
    <xf numFmtId="0" fontId="1" fillId="59" borderId="81" applyNumberFormat="0" applyFont="0" applyAlignment="0" applyProtection="0"/>
    <xf numFmtId="0" fontId="34" fillId="101" borderId="8" applyNumberFormat="0" applyAlignment="0" applyProtection="0"/>
    <xf numFmtId="0" fontId="34" fillId="1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 fontId="16" fillId="106" borderId="8" applyNumberFormat="0" applyProtection="0">
      <alignment vertical="center"/>
    </xf>
    <xf numFmtId="4" fontId="16" fillId="106" borderId="8"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38" fillId="106" borderId="8" applyNumberFormat="0" applyProtection="0">
      <alignment vertical="center"/>
    </xf>
    <xf numFmtId="4" fontId="116" fillId="106" borderId="69" applyNumberFormat="0" applyProtection="0">
      <alignment vertical="center"/>
    </xf>
    <xf numFmtId="4" fontId="16" fillId="106" borderId="8"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horizontal="left" vertical="center" indent="1"/>
    </xf>
    <xf numFmtId="0" fontId="117" fillId="33" borderId="9" applyNumberFormat="0" applyProtection="0">
      <alignment horizontal="left" vertical="top" indent="1"/>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16" fillId="108" borderId="8"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16" fillId="109" borderId="8"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16" fillId="111" borderId="8"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16" fillId="112" borderId="8"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16" fillId="113" borderId="8"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16" fillId="114" borderId="8"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16" fillId="115" borderId="8"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16" fillId="116" borderId="8"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16" fillId="117" borderId="8"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35" fillId="118" borderId="8"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16" fillId="119" borderId="90" applyNumberFormat="0" applyProtection="0">
      <alignment horizontal="left" vertical="center" indent="1"/>
    </xf>
    <xf numFmtId="4" fontId="14" fillId="8" borderId="83" applyNumberFormat="0" applyProtection="0">
      <alignment horizontal="left" vertical="center" indent="1"/>
    </xf>
    <xf numFmtId="4" fontId="37" fillId="120" borderId="0" applyNumberFormat="0" applyProtection="0">
      <alignment horizontal="left" vertical="center" indent="1"/>
    </xf>
    <xf numFmtId="4" fontId="14" fillId="8" borderId="83" applyNumberFormat="0" applyProtection="0">
      <alignment horizontal="left" vertical="center" indent="1"/>
    </xf>
    <xf numFmtId="0" fontId="14" fillId="107" borderId="8" applyNumberFormat="0" applyProtection="0">
      <alignment horizontal="left" vertical="center" indent="1"/>
    </xf>
    <xf numFmtId="4" fontId="43" fillId="2" borderId="69" applyNumberFormat="0" applyProtection="0">
      <alignment horizontal="right" vertical="center"/>
    </xf>
    <xf numFmtId="4" fontId="43" fillId="2" borderId="69" applyNumberFormat="0" applyProtection="0">
      <alignment horizontal="right" vertical="center"/>
    </xf>
    <xf numFmtId="4" fontId="43" fillId="2" borderId="69" applyNumberFormat="0" applyProtection="0">
      <alignment horizontal="right" vertical="center"/>
    </xf>
    <xf numFmtId="4" fontId="16" fillId="119" borderId="8"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16" fillId="46" borderId="8"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0" fontId="14" fillId="46" borderId="8"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14" fillId="46" borderId="8" applyNumberFormat="0" applyProtection="0">
      <alignment horizontal="left" vertical="center" indent="1"/>
    </xf>
    <xf numFmtId="0" fontId="43" fillId="8" borderId="9" applyNumberFormat="0" applyProtection="0">
      <alignment horizontal="left" vertical="top" indent="1"/>
    </xf>
    <xf numFmtId="0" fontId="14" fillId="45" borderId="8"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14" fillId="45" borderId="8" applyNumberFormat="0" applyProtection="0">
      <alignment horizontal="left" vertical="center" indent="1"/>
    </xf>
    <xf numFmtId="0" fontId="43" fillId="2" borderId="9" applyNumberFormat="0" applyProtection="0">
      <alignment horizontal="left" vertical="top" indent="1"/>
    </xf>
    <xf numFmtId="0" fontId="14" fillId="122" borderId="8"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14" fillId="122" borderId="8" applyNumberFormat="0" applyProtection="0">
      <alignment horizontal="left" vertical="center" indent="1"/>
    </xf>
    <xf numFmtId="0" fontId="43" fillId="6" borderId="9" applyNumberFormat="0" applyProtection="0">
      <alignment horizontal="left" vertical="top" indent="1"/>
    </xf>
    <xf numFmtId="0" fontId="14" fillId="107" borderId="8"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14" fillId="107" borderId="8" applyNumberFormat="0" applyProtection="0">
      <alignment horizontal="left" vertical="center" indent="1"/>
    </xf>
    <xf numFmtId="0" fontId="43" fillId="41" borderId="9" applyNumberFormat="0" applyProtection="0">
      <alignment horizontal="left" vertical="top" indent="1"/>
    </xf>
    <xf numFmtId="0" fontId="1" fillId="0" borderId="0"/>
    <xf numFmtId="0" fontId="43" fillId="5" borderId="91" applyNumberForma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8" fillId="8" borderId="92" applyBorder="0"/>
    <xf numFmtId="4" fontId="16" fillId="123" borderId="8" applyNumberFormat="0" applyProtection="0">
      <alignment vertical="center"/>
    </xf>
    <xf numFmtId="4" fontId="119" fillId="4" borderId="9" applyNumberFormat="0" applyProtection="0">
      <alignment vertical="center"/>
    </xf>
    <xf numFmtId="4" fontId="38" fillId="123" borderId="8" applyNumberFormat="0" applyProtection="0">
      <alignment vertical="center"/>
    </xf>
    <xf numFmtId="4" fontId="116" fillId="123" borderId="11" applyNumberFormat="0" applyProtection="0">
      <alignment vertical="center"/>
    </xf>
    <xf numFmtId="4" fontId="16" fillId="123" borderId="8" applyNumberFormat="0" applyProtection="0">
      <alignment horizontal="left" vertical="center" indent="1"/>
    </xf>
    <xf numFmtId="4" fontId="119" fillId="10" borderId="9" applyNumberFormat="0" applyProtection="0">
      <alignment horizontal="left" vertical="center" indent="1"/>
    </xf>
    <xf numFmtId="4" fontId="16" fillId="123" borderId="8" applyNumberFormat="0" applyProtection="0">
      <alignment horizontal="left" vertical="center" indent="1"/>
    </xf>
    <xf numFmtId="0" fontId="119" fillId="4" borderId="9" applyNumberFormat="0" applyProtection="0">
      <alignment horizontal="left" vertical="top" indent="1"/>
    </xf>
    <xf numFmtId="4" fontId="16" fillId="119" borderId="8" applyNumberFormat="0" applyProtection="0">
      <alignment horizontal="right" vertical="center"/>
    </xf>
    <xf numFmtId="4" fontId="16" fillId="119" borderId="8"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38" fillId="119" borderId="8" applyNumberFormat="0" applyProtection="0">
      <alignment horizontal="right" vertical="center"/>
    </xf>
    <xf numFmtId="4" fontId="116" fillId="43" borderId="69" applyNumberFormat="0" applyProtection="0">
      <alignment horizontal="right" vertical="center"/>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119" fillId="2" borderId="9" applyNumberFormat="0" applyProtection="0">
      <alignment horizontal="left" vertical="top" indent="1"/>
    </xf>
    <xf numFmtId="0" fontId="120" fillId="0" borderId="0"/>
    <xf numFmtId="4" fontId="121" fillId="42" borderId="83" applyNumberFormat="0" applyProtection="0">
      <alignment horizontal="left" vertical="center" indent="1"/>
    </xf>
    <xf numFmtId="0" fontId="43" fillId="124" borderId="11"/>
    <xf numFmtId="0" fontId="43" fillId="124" borderId="11"/>
    <xf numFmtId="0" fontId="43" fillId="124" borderId="11"/>
    <xf numFmtId="4" fontId="40" fillId="119" borderId="8" applyNumberFormat="0" applyProtection="0">
      <alignment horizontal="right" vertical="center"/>
    </xf>
    <xf numFmtId="4" fontId="122" fillId="5" borderId="69" applyNumberFormat="0" applyProtection="0">
      <alignment horizontal="right" vertical="center"/>
    </xf>
    <xf numFmtId="0" fontId="123" fillId="0" borderId="0" applyNumberFormat="0" applyFill="0" applyBorder="0" applyAlignment="0" applyProtection="0"/>
    <xf numFmtId="0" fontId="25" fillId="0" borderId="12" applyNumberFormat="0" applyFill="0" applyAlignment="0" applyProtection="0"/>
    <xf numFmtId="0" fontId="25" fillId="0" borderId="93" applyNumberFormat="0" applyFill="0" applyAlignment="0" applyProtection="0"/>
    <xf numFmtId="0" fontId="124" fillId="0" borderId="0" applyNumberFormat="0" applyFill="0" applyBorder="0" applyAlignment="0" applyProtection="0"/>
    <xf numFmtId="0" fontId="42" fillId="0" borderId="0" applyNumberFormat="0" applyFill="0" applyBorder="0" applyAlignment="0" applyProtection="0"/>
    <xf numFmtId="0" fontId="125" fillId="0" borderId="0" applyNumberFormat="0" applyFill="0" applyBorder="0" applyAlignment="0" applyProtection="0"/>
    <xf numFmtId="0" fontId="104" fillId="55" borderId="0" applyNumberFormat="0" applyBorder="0" applyAlignment="0" applyProtection="0"/>
    <xf numFmtId="0" fontId="103" fillId="63" borderId="0" applyNumberFormat="0" applyBorder="0" applyAlignment="0" applyProtection="0"/>
    <xf numFmtId="0" fontId="103" fillId="67" borderId="0" applyNumberFormat="0" applyBorder="0" applyAlignment="0" applyProtection="0"/>
    <xf numFmtId="0" fontId="103" fillId="71" borderId="0" applyNumberFormat="0" applyBorder="0" applyAlignment="0" applyProtection="0"/>
    <xf numFmtId="0" fontId="103" fillId="75" borderId="0" applyNumberFormat="0" applyBorder="0" applyAlignment="0" applyProtection="0"/>
    <xf numFmtId="0" fontId="103" fillId="79" borderId="0" applyNumberFormat="0" applyBorder="0" applyAlignment="0" applyProtection="0"/>
    <xf numFmtId="0" fontId="103" fillId="83"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9" fontId="1" fillId="0" borderId="0" applyFont="0" applyFill="0" applyBorder="0" applyAlignment="0" applyProtection="0"/>
    <xf numFmtId="0" fontId="21" fillId="84" borderId="0" applyNumberFormat="0" applyBorder="0" applyAlignment="0" applyProtection="0"/>
    <xf numFmtId="0" fontId="21" fillId="7" borderId="0" applyNumberFormat="0" applyBorder="0" applyAlignment="0" applyProtection="0"/>
    <xf numFmtId="0" fontId="21" fillId="85" borderId="0" applyNumberFormat="0" applyBorder="0" applyAlignment="0" applyProtection="0"/>
    <xf numFmtId="0" fontId="21" fillId="86" borderId="0" applyNumberFormat="0" applyBorder="0" applyAlignment="0" applyProtection="0"/>
    <xf numFmtId="0" fontId="21" fillId="87" borderId="0" applyNumberFormat="0" applyBorder="0" applyAlignment="0" applyProtection="0"/>
    <xf numFmtId="0" fontId="21" fillId="11" borderId="0" applyNumberFormat="0" applyBorder="0" applyAlignment="0" applyProtection="0"/>
    <xf numFmtId="0" fontId="14" fillId="0" borderId="0"/>
    <xf numFmtId="0" fontId="21" fillId="6" borderId="0" applyNumberFormat="0" applyBorder="0" applyAlignment="0" applyProtection="0"/>
    <xf numFmtId="0" fontId="21" fillId="3" borderId="0" applyNumberFormat="0" applyBorder="0" applyAlignment="0" applyProtection="0"/>
    <xf numFmtId="0" fontId="21" fillId="39" borderId="0" applyNumberFormat="0" applyBorder="0" applyAlignment="0" applyProtection="0"/>
    <xf numFmtId="0" fontId="21" fillId="86" borderId="0" applyNumberFormat="0" applyBorder="0" applyAlignment="0" applyProtection="0"/>
    <xf numFmtId="0" fontId="21" fillId="6" borderId="0" applyNumberFormat="0" applyBorder="0" applyAlignment="0" applyProtection="0"/>
    <xf numFmtId="0" fontId="21" fillId="35" borderId="0" applyNumberFormat="0" applyBorder="0" applyAlignment="0" applyProtection="0"/>
    <xf numFmtId="0" fontId="1" fillId="0" borderId="0"/>
    <xf numFmtId="0" fontId="14"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09" fillId="0" borderId="0"/>
    <xf numFmtId="0" fontId="16" fillId="4" borderId="7" applyNumberFormat="0" applyFont="0" applyAlignment="0" applyProtection="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 fillId="0" borderId="0" applyFont="0" applyFill="0" applyBorder="0" applyAlignment="0" applyProtection="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59" borderId="8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4" fillId="0" borderId="0"/>
    <xf numFmtId="43" fontId="1" fillId="0" borderId="0" applyFont="0" applyFill="0" applyBorder="0" applyAlignment="0" applyProtection="0"/>
    <xf numFmtId="4" fontId="43" fillId="0" borderId="69" applyNumberFormat="0" applyProtection="0">
      <alignment horizontal="right" vertical="center"/>
    </xf>
    <xf numFmtId="4" fontId="16" fillId="123" borderId="8" applyNumberFormat="0" applyProtection="0">
      <alignment vertical="center"/>
    </xf>
    <xf numFmtId="4" fontId="43" fillId="34" borderId="83" applyNumberFormat="0" applyProtection="0">
      <alignment horizontal="right" vertical="center"/>
    </xf>
    <xf numFmtId="4" fontId="43" fillId="40" borderId="83" applyNumberFormat="0" applyProtection="0">
      <alignment horizontal="left" vertical="center" indent="1"/>
    </xf>
    <xf numFmtId="4" fontId="43" fillId="37" borderId="69" applyNumberFormat="0" applyProtection="0">
      <alignment horizontal="right" vertical="center"/>
    </xf>
    <xf numFmtId="4" fontId="38" fillId="106" borderId="8" applyNumberFormat="0" applyProtection="0">
      <alignment vertical="center"/>
    </xf>
    <xf numFmtId="0" fontId="14" fillId="107" borderId="8" applyNumberFormat="0" applyProtection="0">
      <alignment horizontal="left" vertical="center" indent="1"/>
    </xf>
    <xf numFmtId="4" fontId="43" fillId="37" borderId="69" applyNumberFormat="0" applyProtection="0">
      <alignment horizontal="right" vertical="center"/>
    </xf>
    <xf numFmtId="4" fontId="43" fillId="0" borderId="69" applyNumberFormat="0" applyProtection="0">
      <alignment horizontal="right" vertical="center"/>
    </xf>
    <xf numFmtId="0" fontId="43" fillId="41" borderId="69" applyNumberFormat="0" applyProtection="0">
      <alignment horizontal="left" vertical="center" indent="1"/>
    </xf>
    <xf numFmtId="0" fontId="14" fillId="46" borderId="8" applyNumberFormat="0" applyProtection="0">
      <alignment horizontal="left" vertical="center" indent="1"/>
    </xf>
    <xf numFmtId="4" fontId="16" fillId="106" borderId="8" applyNumberFormat="0" applyProtection="0">
      <alignment horizontal="left" vertical="center" indent="1"/>
    </xf>
    <xf numFmtId="4" fontId="16" fillId="119" borderId="90" applyNumberFormat="0" applyProtection="0">
      <alignment horizontal="left" vertical="center" indent="1"/>
    </xf>
    <xf numFmtId="0" fontId="43" fillId="10" borderId="69" applyNumberFormat="0" applyProtection="0">
      <alignment horizontal="left" vertical="center" indent="1"/>
    </xf>
    <xf numFmtId="4" fontId="43" fillId="35" borderId="69" applyNumberFormat="0" applyProtection="0">
      <alignment horizontal="right" vertical="center"/>
    </xf>
    <xf numFmtId="0" fontId="117" fillId="33" borderId="9" applyNumberFormat="0" applyProtection="0">
      <alignment horizontal="left" vertical="top" indent="1"/>
    </xf>
    <xf numFmtId="0" fontId="118" fillId="8" borderId="92" applyBorder="0"/>
    <xf numFmtId="0" fontId="43" fillId="121" borderId="69" applyNumberFormat="0" applyProtection="0">
      <alignment horizontal="left" vertical="center" indent="1"/>
    </xf>
    <xf numFmtId="0" fontId="43" fillId="41" borderId="9" applyNumberFormat="0" applyProtection="0">
      <alignment horizontal="left" vertical="top" indent="1"/>
    </xf>
    <xf numFmtId="4" fontId="43" fillId="39" borderId="69" applyNumberFormat="0" applyProtection="0">
      <alignment horizontal="right" vertical="center"/>
    </xf>
    <xf numFmtId="4" fontId="43" fillId="35" borderId="69" applyNumberFormat="0" applyProtection="0">
      <alignment horizontal="right" vertical="center"/>
    </xf>
    <xf numFmtId="0" fontId="43" fillId="10" borderId="69" applyNumberFormat="0" applyProtection="0">
      <alignment horizontal="left" vertical="center" indent="1"/>
    </xf>
    <xf numFmtId="4" fontId="16" fillId="113" borderId="8" applyNumberFormat="0" applyProtection="0">
      <alignment horizontal="right" vertical="center"/>
    </xf>
    <xf numFmtId="0" fontId="43" fillId="10" borderId="69" applyNumberFormat="0" applyProtection="0">
      <alignment horizontal="left" vertical="center" indent="1"/>
    </xf>
    <xf numFmtId="4" fontId="122" fillId="5" borderId="69" applyNumberFormat="0" applyProtection="0">
      <alignment horizontal="right" vertical="center"/>
    </xf>
    <xf numFmtId="4" fontId="16" fillId="117" borderId="8" applyNumberFormat="0" applyProtection="0">
      <alignment horizontal="right" vertical="center"/>
    </xf>
    <xf numFmtId="4" fontId="43" fillId="33" borderId="69" applyNumberFormat="0" applyProtection="0">
      <alignment vertical="center"/>
    </xf>
    <xf numFmtId="4" fontId="43" fillId="37" borderId="69" applyNumberFormat="0" applyProtection="0">
      <alignment horizontal="right" vertical="center"/>
    </xf>
    <xf numFmtId="0" fontId="43" fillId="121" borderId="69" applyNumberFormat="0" applyProtection="0">
      <alignment horizontal="left" vertical="center" indent="1"/>
    </xf>
    <xf numFmtId="4" fontId="16" fillId="46" borderId="8" applyNumberFormat="0" applyProtection="0">
      <alignment horizontal="left" vertical="center" indent="1"/>
    </xf>
    <xf numFmtId="4" fontId="43" fillId="37" borderId="69" applyNumberFormat="0" applyProtection="0">
      <alignment horizontal="right" vertical="center"/>
    </xf>
    <xf numFmtId="4" fontId="35" fillId="118" borderId="8" applyNumberFormat="0" applyProtection="0">
      <alignment horizontal="left" vertical="center" indent="1"/>
    </xf>
    <xf numFmtId="4" fontId="43" fillId="9" borderId="69" applyNumberFormat="0" applyProtection="0">
      <alignment horizontal="right" vertical="center"/>
    </xf>
    <xf numFmtId="0" fontId="43" fillId="6" borderId="69" applyNumberFormat="0" applyProtection="0">
      <alignment horizontal="left" vertical="center" indent="1"/>
    </xf>
    <xf numFmtId="0" fontId="119" fillId="4" borderId="9" applyNumberFormat="0" applyProtection="0">
      <alignment horizontal="left" vertical="top" indent="1"/>
    </xf>
    <xf numFmtId="4" fontId="43" fillId="41" borderId="83" applyNumberFormat="0" applyProtection="0">
      <alignment horizontal="left" vertical="center" indent="1"/>
    </xf>
    <xf numFmtId="0" fontId="43" fillId="124" borderId="94"/>
    <xf numFmtId="4" fontId="43" fillId="51" borderId="69" applyNumberFormat="0" applyProtection="0">
      <alignment horizontal="left" vertical="center" indent="1"/>
    </xf>
    <xf numFmtId="0" fontId="34" fillId="10" borderId="8" applyNumberFormat="0" applyAlignment="0" applyProtection="0"/>
    <xf numFmtId="0" fontId="16" fillId="4" borderId="7" applyNumberFormat="0" applyFont="0" applyAlignment="0" applyProtection="0"/>
    <xf numFmtId="4" fontId="16" fillId="112" borderId="8" applyNumberFormat="0" applyProtection="0">
      <alignment horizontal="right" vertical="center"/>
    </xf>
    <xf numFmtId="0" fontId="14" fillId="45" borderId="8" applyNumberFormat="0" applyProtection="0">
      <alignment horizontal="left" vertical="center" indent="1"/>
    </xf>
    <xf numFmtId="0" fontId="14" fillId="46" borderId="8" applyNumberFormat="0" applyProtection="0">
      <alignment horizontal="left" vertical="center" indent="1"/>
    </xf>
    <xf numFmtId="4" fontId="43" fillId="38" borderId="69" applyNumberFormat="0" applyProtection="0">
      <alignment horizontal="right" vertical="center"/>
    </xf>
    <xf numFmtId="4" fontId="16" fillId="108" borderId="8" applyNumberFormat="0" applyProtection="0">
      <alignment horizontal="right" vertical="center"/>
    </xf>
    <xf numFmtId="4" fontId="43" fillId="51" borderId="69" applyNumberFormat="0" applyProtection="0">
      <alignment horizontal="left" vertical="center" indent="1"/>
    </xf>
    <xf numFmtId="0" fontId="43" fillId="41" borderId="69" applyNumberFormat="0" applyProtection="0">
      <alignment horizontal="left" vertical="center" indent="1"/>
    </xf>
    <xf numFmtId="4" fontId="43" fillId="2"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0" fontId="43" fillId="6" borderId="69" applyNumberFormat="0" applyProtection="0">
      <alignment horizontal="left" vertical="center" indent="1"/>
    </xf>
    <xf numFmtId="4" fontId="43" fillId="51" borderId="69" applyNumberFormat="0" applyProtection="0">
      <alignment horizontal="left" vertical="center" indent="1"/>
    </xf>
    <xf numFmtId="4" fontId="43" fillId="41" borderId="83" applyNumberFormat="0" applyProtection="0">
      <alignment horizontal="left" vertical="center" indent="1"/>
    </xf>
    <xf numFmtId="0" fontId="14" fillId="107" borderId="8" applyNumberFormat="0" applyProtection="0">
      <alignment horizontal="left" vertical="center" indent="1"/>
    </xf>
    <xf numFmtId="4" fontId="16" fillId="119" borderId="8" applyNumberFormat="0" applyProtection="0">
      <alignment horizontal="right" vertical="center"/>
    </xf>
    <xf numFmtId="4" fontId="38" fillId="106" borderId="8" applyNumberFormat="0" applyProtection="0">
      <alignment vertical="center"/>
    </xf>
    <xf numFmtId="4" fontId="16" fillId="119" borderId="8" applyNumberFormat="0" applyProtection="0">
      <alignment horizontal="right" vertical="center"/>
    </xf>
    <xf numFmtId="4" fontId="43" fillId="40" borderId="83" applyNumberFormat="0" applyProtection="0">
      <alignment horizontal="left" vertical="center" indent="1"/>
    </xf>
    <xf numFmtId="0" fontId="43" fillId="2" borderId="9" applyNumberFormat="0" applyProtection="0">
      <alignment horizontal="left" vertical="top" indent="1"/>
    </xf>
    <xf numFmtId="4" fontId="43" fillId="33" borderId="69" applyNumberFormat="0" applyProtection="0">
      <alignment vertical="center"/>
    </xf>
    <xf numFmtId="4" fontId="116" fillId="123" borderId="94" applyNumberFormat="0" applyProtection="0">
      <alignment vertical="center"/>
    </xf>
    <xf numFmtId="0" fontId="119" fillId="2" borderId="9" applyNumberFormat="0" applyProtection="0">
      <alignment horizontal="left" vertical="top" indent="1"/>
    </xf>
    <xf numFmtId="4" fontId="43" fillId="37" borderId="69" applyNumberFormat="0" applyProtection="0">
      <alignment horizontal="right" vertical="center"/>
    </xf>
    <xf numFmtId="0" fontId="107" fillId="101" borderId="69" applyNumberFormat="0" applyAlignment="0" applyProtection="0"/>
    <xf numFmtId="4" fontId="43" fillId="51" borderId="69" applyNumberFormat="0" applyProtection="0">
      <alignment horizontal="left" vertical="center" indent="1"/>
    </xf>
    <xf numFmtId="4" fontId="38" fillId="123" borderId="8" applyNumberFormat="0" applyProtection="0">
      <alignment vertical="center"/>
    </xf>
    <xf numFmtId="4" fontId="43" fillId="33" borderId="69" applyNumberFormat="0" applyProtection="0">
      <alignment vertical="center"/>
    </xf>
    <xf numFmtId="0" fontId="14" fillId="107" borderId="8" applyNumberFormat="0" applyProtection="0">
      <alignment horizontal="left" vertical="center" indent="1"/>
    </xf>
    <xf numFmtId="4" fontId="43" fillId="40" borderId="83" applyNumberFormat="0" applyProtection="0">
      <alignment horizontal="left" vertical="center" indent="1"/>
    </xf>
    <xf numFmtId="4" fontId="16" fillId="119" borderId="8" applyNumberFormat="0" applyProtection="0">
      <alignment horizontal="right" vertical="center"/>
    </xf>
    <xf numFmtId="0" fontId="14" fillId="107" borderId="8" applyNumberFormat="0" applyProtection="0">
      <alignment horizontal="left" vertical="center" indent="1"/>
    </xf>
    <xf numFmtId="4" fontId="43" fillId="39" borderId="69" applyNumberFormat="0" applyProtection="0">
      <alignment horizontal="right" vertical="center"/>
    </xf>
    <xf numFmtId="0" fontId="31" fillId="27" borderId="69" applyNumberFormat="0" applyAlignment="0" applyProtection="0"/>
    <xf numFmtId="4" fontId="16" fillId="112" borderId="8" applyNumberFormat="0" applyProtection="0">
      <alignment horizontal="right" vertical="center"/>
    </xf>
    <xf numFmtId="4" fontId="43" fillId="38" borderId="69" applyNumberFormat="0" applyProtection="0">
      <alignment horizontal="right" vertical="center"/>
    </xf>
    <xf numFmtId="4" fontId="43" fillId="106" borderId="69" applyNumberFormat="0" applyProtection="0">
      <alignment horizontal="left" vertical="center" indent="1"/>
    </xf>
    <xf numFmtId="4" fontId="43" fillId="36" borderId="69" applyNumberFormat="0" applyProtection="0">
      <alignment horizontal="right" vertical="center"/>
    </xf>
    <xf numFmtId="4" fontId="43" fillId="41" borderId="83" applyNumberFormat="0" applyProtection="0">
      <alignment horizontal="left" vertical="center" indent="1"/>
    </xf>
    <xf numFmtId="4" fontId="43" fillId="110" borderId="69" applyNumberFormat="0" applyProtection="0">
      <alignment horizontal="right" vertical="center"/>
    </xf>
    <xf numFmtId="4" fontId="43" fillId="2" borderId="83" applyNumberFormat="0" applyProtection="0">
      <alignment horizontal="left" vertical="center" indent="1"/>
    </xf>
    <xf numFmtId="4" fontId="43" fillId="39" borderId="69" applyNumberFormat="0" applyProtection="0">
      <alignment horizontal="right" vertical="center"/>
    </xf>
    <xf numFmtId="4" fontId="43" fillId="41" borderId="83" applyNumberFormat="0" applyProtection="0">
      <alignment horizontal="left" vertical="center" indent="1"/>
    </xf>
    <xf numFmtId="4" fontId="16" fillId="106" borderId="8" applyNumberFormat="0" applyProtection="0">
      <alignment horizontal="left" vertical="center" indent="1"/>
    </xf>
    <xf numFmtId="4" fontId="16" fillId="115" borderId="8" applyNumberFormat="0" applyProtection="0">
      <alignment horizontal="right" vertical="center"/>
    </xf>
    <xf numFmtId="4" fontId="16" fillId="106" borderId="8" applyNumberFormat="0" applyProtection="0">
      <alignment horizontal="left" vertical="center" indent="1"/>
    </xf>
    <xf numFmtId="4" fontId="43" fillId="38" borderId="69" applyNumberFormat="0" applyProtection="0">
      <alignment horizontal="right" vertical="center"/>
    </xf>
    <xf numFmtId="4" fontId="43" fillId="2" borderId="83" applyNumberFormat="0" applyProtection="0">
      <alignment horizontal="left" vertical="center" indent="1"/>
    </xf>
    <xf numFmtId="4" fontId="43" fillId="35" borderId="69" applyNumberFormat="0" applyProtection="0">
      <alignment horizontal="right" vertical="center"/>
    </xf>
    <xf numFmtId="0" fontId="43" fillId="2" borderId="9" applyNumberFormat="0" applyProtection="0">
      <alignment horizontal="left" vertical="top" indent="1"/>
    </xf>
    <xf numFmtId="4" fontId="43" fillId="7" borderId="69" applyNumberFormat="0" applyProtection="0">
      <alignment horizontal="right" vertical="center"/>
    </xf>
    <xf numFmtId="0" fontId="34" fillId="10" borderId="8" applyNumberFormat="0" applyAlignment="0" applyProtection="0"/>
    <xf numFmtId="4" fontId="43" fillId="51" borderId="69" applyNumberFormat="0" applyProtection="0">
      <alignment horizontal="left" vertical="center" indent="1"/>
    </xf>
    <xf numFmtId="4" fontId="43" fillId="40" borderId="83" applyNumberFormat="0" applyProtection="0">
      <alignment horizontal="left" vertical="center" indent="1"/>
    </xf>
    <xf numFmtId="0" fontId="43" fillId="41" borderId="9" applyNumberFormat="0" applyProtection="0">
      <alignment horizontal="left" vertical="top" indent="1"/>
    </xf>
    <xf numFmtId="4" fontId="43" fillId="37" borderId="69" applyNumberFormat="0" applyProtection="0">
      <alignment horizontal="right" vertical="center"/>
    </xf>
    <xf numFmtId="0" fontId="14" fillId="122" borderId="8" applyNumberFormat="0" applyProtection="0">
      <alignment horizontal="left" vertical="center" indent="1"/>
    </xf>
    <xf numFmtId="0" fontId="34" fillId="101" borderId="8" applyNumberFormat="0" applyAlignment="0" applyProtection="0"/>
    <xf numFmtId="0" fontId="108" fillId="10" borderId="1" applyNumberFormat="0" applyAlignment="0" applyProtection="0"/>
    <xf numFmtId="4" fontId="16" fillId="123" borderId="8" applyNumberFormat="0" applyProtection="0">
      <alignment horizontal="left" vertical="center" indent="1"/>
    </xf>
    <xf numFmtId="4" fontId="43" fillId="34" borderId="83" applyNumberFormat="0" applyProtection="0">
      <alignment horizontal="right" vertical="center"/>
    </xf>
    <xf numFmtId="4" fontId="16" fillId="46" borderId="8" applyNumberFormat="0" applyProtection="0">
      <alignment horizontal="left" vertical="center" indent="1"/>
    </xf>
    <xf numFmtId="4" fontId="119" fillId="10" borderId="9" applyNumberFormat="0" applyProtection="0">
      <alignment horizontal="left" vertical="center" indent="1"/>
    </xf>
    <xf numFmtId="4" fontId="43" fillId="41" borderId="83" applyNumberFormat="0" applyProtection="0">
      <alignment horizontal="left" vertical="center" indent="1"/>
    </xf>
    <xf numFmtId="0" fontId="43" fillId="41" borderId="69" applyNumberFormat="0" applyProtection="0">
      <alignment horizontal="left" vertical="center" indent="1"/>
    </xf>
    <xf numFmtId="4" fontId="121" fillId="42" borderId="83"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43" fillId="124" borderId="94"/>
    <xf numFmtId="0" fontId="43" fillId="6" borderId="69" applyNumberFormat="0" applyProtection="0">
      <alignment horizontal="left" vertical="center" indent="1"/>
    </xf>
    <xf numFmtId="0" fontId="14" fillId="107" borderId="8" applyNumberFormat="0" applyProtection="0">
      <alignment horizontal="left" vertical="center" indent="1"/>
    </xf>
    <xf numFmtId="4" fontId="43" fillId="38" borderId="69" applyNumberFormat="0" applyProtection="0">
      <alignment horizontal="right" vertical="center"/>
    </xf>
    <xf numFmtId="4" fontId="43" fillId="2" borderId="69" applyNumberFormat="0" applyProtection="0">
      <alignment horizontal="right" vertical="center"/>
    </xf>
    <xf numFmtId="4" fontId="16" fillId="111" borderId="8" applyNumberFormat="0" applyProtection="0">
      <alignment horizontal="right" vertical="center"/>
    </xf>
    <xf numFmtId="4" fontId="43" fillId="35" borderId="69" applyNumberFormat="0" applyProtection="0">
      <alignment horizontal="right" vertical="center"/>
    </xf>
    <xf numFmtId="4" fontId="16" fillId="119" borderId="8" applyNumberFormat="0" applyProtection="0">
      <alignment horizontal="left" vertical="center" indent="1"/>
    </xf>
    <xf numFmtId="4" fontId="16" fillId="119" borderId="8" applyNumberFormat="0" applyProtection="0">
      <alignment horizontal="right" vertical="center"/>
    </xf>
    <xf numFmtId="0" fontId="16" fillId="4" borderId="7" applyNumberFormat="0" applyFont="0" applyAlignment="0" applyProtection="0"/>
    <xf numFmtId="0" fontId="43" fillId="6" borderId="9" applyNumberFormat="0" applyProtection="0">
      <alignment horizontal="left" vertical="top" indent="1"/>
    </xf>
    <xf numFmtId="0" fontId="25" fillId="0" borderId="93" applyNumberFormat="0" applyFill="0" applyAlignment="0" applyProtection="0"/>
    <xf numFmtId="0" fontId="43" fillId="10" borderId="69" applyNumberFormat="0" applyProtection="0">
      <alignment horizontal="left" vertical="center" indent="1"/>
    </xf>
    <xf numFmtId="4" fontId="16" fillId="117" borderId="8" applyNumberFormat="0" applyProtection="0">
      <alignment horizontal="right" vertical="center"/>
    </xf>
    <xf numFmtId="4" fontId="16" fillId="123" borderId="8" applyNumberFormat="0" applyProtection="0">
      <alignment vertical="center"/>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43" fillId="9" borderId="69" applyNumberFormat="0" applyProtection="0">
      <alignment horizontal="right" vertical="center"/>
    </xf>
    <xf numFmtId="4" fontId="16" fillId="114" borderId="8" applyNumberFormat="0" applyProtection="0">
      <alignment horizontal="right" vertical="center"/>
    </xf>
    <xf numFmtId="4" fontId="43" fillId="36" borderId="69" applyNumberFormat="0" applyProtection="0">
      <alignment horizontal="right" vertical="center"/>
    </xf>
    <xf numFmtId="4" fontId="43" fillId="34" borderId="83" applyNumberFormat="0" applyProtection="0">
      <alignment horizontal="right" vertical="center"/>
    </xf>
    <xf numFmtId="0" fontId="25" fillId="0" borderId="12" applyNumberFormat="0" applyFill="0" applyAlignment="0" applyProtection="0"/>
    <xf numFmtId="4" fontId="43" fillId="7" borderId="69" applyNumberFormat="0" applyProtection="0">
      <alignment horizontal="right" vertical="center"/>
    </xf>
    <xf numFmtId="4" fontId="43" fillId="40" borderId="83" applyNumberFormat="0" applyProtection="0">
      <alignment horizontal="left" vertical="center" indent="1"/>
    </xf>
    <xf numFmtId="4" fontId="43" fillId="110" borderId="69" applyNumberFormat="0" applyProtection="0">
      <alignment horizontal="right" vertical="center"/>
    </xf>
    <xf numFmtId="4" fontId="43" fillId="7" borderId="69" applyNumberFormat="0" applyProtection="0">
      <alignment horizontal="right" vertical="center"/>
    </xf>
    <xf numFmtId="4" fontId="43" fillId="51" borderId="69" applyNumberFormat="0" applyProtection="0">
      <alignment horizontal="left" vertical="center" indent="1"/>
    </xf>
    <xf numFmtId="4" fontId="43" fillId="110" borderId="69" applyNumberFormat="0" applyProtection="0">
      <alignment horizontal="right" vertical="center"/>
    </xf>
    <xf numFmtId="0" fontId="43" fillId="121" borderId="69" applyNumberFormat="0" applyProtection="0">
      <alignment horizontal="left" vertical="center" indent="1"/>
    </xf>
    <xf numFmtId="4" fontId="43" fillId="51" borderId="69" applyNumberFormat="0" applyProtection="0">
      <alignment horizontal="left" vertical="center" indent="1"/>
    </xf>
    <xf numFmtId="4" fontId="43" fillId="36" borderId="69" applyNumberFormat="0" applyProtection="0">
      <alignment horizontal="right" vertical="center"/>
    </xf>
    <xf numFmtId="4" fontId="43" fillId="2" borderId="69" applyNumberFormat="0" applyProtection="0">
      <alignment horizontal="right" vertical="center"/>
    </xf>
    <xf numFmtId="4" fontId="43" fillId="51" borderId="69" applyNumberFormat="0" applyProtection="0">
      <alignment horizontal="left" vertical="center" indent="1"/>
    </xf>
    <xf numFmtId="0" fontId="119" fillId="4" borderId="9" applyNumberFormat="0" applyProtection="0">
      <alignment horizontal="left" vertical="top" indent="1"/>
    </xf>
    <xf numFmtId="0" fontId="14" fillId="107" borderId="8" applyNumberFormat="0" applyProtection="0">
      <alignment horizontal="left" vertical="center" indent="1"/>
    </xf>
    <xf numFmtId="4" fontId="43" fillId="36" borderId="69" applyNumberFormat="0" applyProtection="0">
      <alignment horizontal="right" vertical="center"/>
    </xf>
    <xf numFmtId="4" fontId="43" fillId="35" borderId="69" applyNumberFormat="0" applyProtection="0">
      <alignment horizontal="right" vertical="center"/>
    </xf>
    <xf numFmtId="0" fontId="43" fillId="121" borderId="69" applyNumberFormat="0" applyProtection="0">
      <alignment horizontal="left" vertical="center" indent="1"/>
    </xf>
    <xf numFmtId="0" fontId="43" fillId="6" borderId="69" applyNumberFormat="0" applyProtection="0">
      <alignment horizontal="left" vertical="center" indent="1"/>
    </xf>
    <xf numFmtId="4" fontId="116" fillId="106" borderId="69" applyNumberFormat="0" applyProtection="0">
      <alignment vertical="center"/>
    </xf>
    <xf numFmtId="4" fontId="43" fillId="33" borderId="69" applyNumberFormat="0" applyProtection="0">
      <alignment vertical="center"/>
    </xf>
    <xf numFmtId="4" fontId="116" fillId="106" borderId="69" applyNumberFormat="0" applyProtection="0">
      <alignment vertical="center"/>
    </xf>
    <xf numFmtId="0" fontId="14" fillId="46" borderId="8"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4" fontId="14" fillId="8" borderId="83" applyNumberFormat="0" applyProtection="0">
      <alignment horizontal="left" vertical="center" indent="1"/>
    </xf>
    <xf numFmtId="0" fontId="43" fillId="6" borderId="69" applyNumberFormat="0" applyProtection="0">
      <alignment horizontal="left" vertical="center" indent="1"/>
    </xf>
    <xf numFmtId="4" fontId="14" fillId="8" borderId="83" applyNumberFormat="0" applyProtection="0">
      <alignment horizontal="left" vertical="center" indent="1"/>
    </xf>
    <xf numFmtId="0" fontId="14" fillId="46" borderId="8" applyNumberFormat="0" applyProtection="0">
      <alignment horizontal="left" vertical="center" indent="1"/>
    </xf>
    <xf numFmtId="0" fontId="14" fillId="107" borderId="8" applyNumberFormat="0" applyProtection="0">
      <alignment horizontal="left" vertical="center" indent="1"/>
    </xf>
    <xf numFmtId="4" fontId="16" fillId="106" borderId="8" applyNumberFormat="0" applyProtection="0">
      <alignment vertical="center"/>
    </xf>
    <xf numFmtId="4" fontId="43" fillId="36" borderId="69" applyNumberFormat="0" applyProtection="0">
      <alignment horizontal="right" vertical="center"/>
    </xf>
    <xf numFmtId="4" fontId="14" fillId="8" borderId="83" applyNumberFormat="0" applyProtection="0">
      <alignment horizontal="left" vertical="center" indent="1"/>
    </xf>
    <xf numFmtId="4" fontId="35" fillId="118" borderId="8" applyNumberFormat="0" applyProtection="0">
      <alignment horizontal="left" vertical="center" indent="1"/>
    </xf>
    <xf numFmtId="4" fontId="16" fillId="116" borderId="8" applyNumberFormat="0" applyProtection="0">
      <alignment horizontal="right" vertical="center"/>
    </xf>
    <xf numFmtId="4" fontId="16" fillId="106" borderId="8" applyNumberFormat="0" applyProtection="0">
      <alignment vertical="center"/>
    </xf>
    <xf numFmtId="4" fontId="38" fillId="123" borderId="8" applyNumberFormat="0" applyProtection="0">
      <alignment vertical="center"/>
    </xf>
    <xf numFmtId="4" fontId="38" fillId="119" borderId="8" applyNumberFormat="0" applyProtection="0">
      <alignment horizontal="right" vertical="center"/>
    </xf>
    <xf numFmtId="4" fontId="16" fillId="114" borderId="8" applyNumberFormat="0" applyProtection="0">
      <alignment horizontal="right" vertical="center"/>
    </xf>
    <xf numFmtId="0" fontId="16" fillId="4" borderId="7" applyNumberFormat="0" applyFont="0" applyAlignment="0" applyProtection="0"/>
    <xf numFmtId="4" fontId="16" fillId="108" borderId="8" applyNumberFormat="0" applyProtection="0">
      <alignment horizontal="right" vertical="center"/>
    </xf>
    <xf numFmtId="4" fontId="43" fillId="9" borderId="69" applyNumberFormat="0" applyProtection="0">
      <alignment horizontal="right" vertical="center"/>
    </xf>
    <xf numFmtId="4" fontId="122" fillId="5" borderId="69" applyNumberFormat="0" applyProtection="0">
      <alignment horizontal="right" vertical="center"/>
    </xf>
    <xf numFmtId="0" fontId="14" fillId="122" borderId="8" applyNumberFormat="0" applyProtection="0">
      <alignment horizontal="left" vertical="center" indent="1"/>
    </xf>
    <xf numFmtId="0" fontId="43" fillId="41" borderId="69" applyNumberFormat="0" applyProtection="0">
      <alignment horizontal="left" vertical="center" indent="1"/>
    </xf>
    <xf numFmtId="0" fontId="43" fillId="121" borderId="69"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0" fontId="43" fillId="8" borderId="9" applyNumberFormat="0" applyProtection="0">
      <alignment horizontal="left" vertical="top" indent="1"/>
    </xf>
    <xf numFmtId="4" fontId="43" fillId="34" borderId="83" applyNumberFormat="0" applyProtection="0">
      <alignment horizontal="right" vertical="center"/>
    </xf>
    <xf numFmtId="4" fontId="43" fillId="2" borderId="83" applyNumberFormat="0" applyProtection="0">
      <alignment horizontal="left" vertical="center" indent="1"/>
    </xf>
    <xf numFmtId="4" fontId="43" fillId="40" borderId="83" applyNumberFormat="0" applyProtection="0">
      <alignment horizontal="left" vertical="center" indent="1"/>
    </xf>
    <xf numFmtId="4" fontId="43" fillId="2" borderId="69" applyNumberFormat="0" applyProtection="0">
      <alignment horizontal="right" vertical="center"/>
    </xf>
    <xf numFmtId="0" fontId="43" fillId="8" borderId="9" applyNumberFormat="0" applyProtection="0">
      <alignment horizontal="left" vertical="top" indent="1"/>
    </xf>
    <xf numFmtId="4" fontId="43" fillId="38" borderId="69" applyNumberFormat="0" applyProtection="0">
      <alignment horizontal="right" vertical="center"/>
    </xf>
    <xf numFmtId="0" fontId="43" fillId="121" borderId="69" applyNumberFormat="0" applyProtection="0">
      <alignment horizontal="left" vertical="center" indent="1"/>
    </xf>
    <xf numFmtId="0" fontId="114" fillId="11" borderId="1" applyNumberFormat="0" applyAlignment="0" applyProtection="0"/>
    <xf numFmtId="4" fontId="16" fillId="123" borderId="8" applyNumberFormat="0" applyProtection="0">
      <alignment horizontal="left" vertical="center" indent="1"/>
    </xf>
    <xf numFmtId="4" fontId="119" fillId="4" borderId="9" applyNumberFormat="0" applyProtection="0">
      <alignment vertical="center"/>
    </xf>
    <xf numFmtId="4" fontId="119" fillId="4" borderId="9" applyNumberFormat="0" applyProtection="0">
      <alignment vertical="center"/>
    </xf>
    <xf numFmtId="0" fontId="43" fillId="6" borderId="9" applyNumberFormat="0" applyProtection="0">
      <alignment horizontal="left" vertical="top" indent="1"/>
    </xf>
    <xf numFmtId="4" fontId="43" fillId="110" borderId="69" applyNumberFormat="0" applyProtection="0">
      <alignment horizontal="right" vertical="center"/>
    </xf>
    <xf numFmtId="4" fontId="43" fillId="2" borderId="83" applyNumberFormat="0" applyProtection="0">
      <alignment horizontal="left" vertical="center" indent="1"/>
    </xf>
    <xf numFmtId="0" fontId="43" fillId="10" borderId="69" applyNumberFormat="0" applyProtection="0">
      <alignment horizontal="left" vertical="center" indent="1"/>
    </xf>
    <xf numFmtId="4" fontId="16" fillId="119" borderId="8" applyNumberFormat="0" applyProtection="0">
      <alignment horizontal="left" vertical="center" indent="1"/>
    </xf>
    <xf numFmtId="4" fontId="43" fillId="9" borderId="69" applyNumberFormat="0" applyProtection="0">
      <alignment horizontal="right" vertical="center"/>
    </xf>
    <xf numFmtId="4" fontId="43" fillId="2" borderId="69" applyNumberFormat="0" applyProtection="0">
      <alignment horizontal="right" vertical="center"/>
    </xf>
    <xf numFmtId="0" fontId="43" fillId="41" borderId="69" applyNumberFormat="0" applyProtection="0">
      <alignment horizontal="left" vertical="center" indent="1"/>
    </xf>
    <xf numFmtId="4" fontId="116" fillId="43" borderId="69" applyNumberFormat="0" applyProtection="0">
      <alignment horizontal="right" vertical="center"/>
    </xf>
    <xf numFmtId="4" fontId="43" fillId="2" borderId="69" applyNumberFormat="0" applyProtection="0">
      <alignment horizontal="right" vertical="center"/>
    </xf>
    <xf numFmtId="4" fontId="43" fillId="0" borderId="69" applyNumberFormat="0" applyProtection="0">
      <alignment horizontal="right" vertical="center"/>
    </xf>
    <xf numFmtId="0" fontId="14" fillId="45" borderId="8" applyNumberFormat="0" applyProtection="0">
      <alignment horizontal="left" vertical="center" indent="1"/>
    </xf>
    <xf numFmtId="4" fontId="16" fillId="111" borderId="8" applyNumberFormat="0" applyProtection="0">
      <alignment horizontal="right" vertical="center"/>
    </xf>
    <xf numFmtId="0" fontId="14" fillId="107" borderId="8" applyNumberFormat="0" applyProtection="0">
      <alignment horizontal="left" vertical="center" indent="1"/>
    </xf>
    <xf numFmtId="4" fontId="16" fillId="106" borderId="8" applyNumberFormat="0" applyProtection="0">
      <alignment vertical="center"/>
    </xf>
    <xf numFmtId="4" fontId="43" fillId="39" borderId="69" applyNumberFormat="0" applyProtection="0">
      <alignment horizontal="right" vertical="center"/>
    </xf>
    <xf numFmtId="0" fontId="31" fillId="27" borderId="69" applyNumberFormat="0" applyAlignment="0" applyProtection="0"/>
    <xf numFmtId="0" fontId="43" fillId="41" borderId="69" applyNumberFormat="0" applyProtection="0">
      <alignment horizontal="left" vertical="center" indent="1"/>
    </xf>
    <xf numFmtId="4" fontId="16" fillId="115" borderId="8" applyNumberFormat="0" applyProtection="0">
      <alignment horizontal="right" vertical="center"/>
    </xf>
    <xf numFmtId="4" fontId="43" fillId="9" borderId="69" applyNumberFormat="0" applyProtection="0">
      <alignment horizontal="right" vertical="center"/>
    </xf>
    <xf numFmtId="4" fontId="43" fillId="39"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4" fontId="43" fillId="0" borderId="69" applyNumberFormat="0" applyProtection="0">
      <alignment horizontal="right" vertical="center"/>
    </xf>
    <xf numFmtId="4" fontId="43" fillId="110" borderId="69" applyNumberFormat="0" applyProtection="0">
      <alignment horizontal="right" vertical="center"/>
    </xf>
    <xf numFmtId="4" fontId="16" fillId="106" borderId="8" applyNumberFormat="0" applyProtection="0">
      <alignment horizontal="left" vertical="center" indent="1"/>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16" fillId="123" borderId="8" applyNumberFormat="0" applyProtection="0">
      <alignment horizontal="left" vertical="center" indent="1"/>
    </xf>
    <xf numFmtId="4" fontId="43" fillId="7" borderId="69" applyNumberFormat="0" applyProtection="0">
      <alignment horizontal="right" vertical="center"/>
    </xf>
    <xf numFmtId="0" fontId="114" fillId="11" borderId="1" applyNumberFormat="0" applyAlignment="0" applyProtection="0"/>
    <xf numFmtId="4" fontId="116" fillId="43" borderId="69" applyNumberFormat="0" applyProtection="0">
      <alignment horizontal="right" vertical="center"/>
    </xf>
    <xf numFmtId="4" fontId="43" fillId="110" borderId="69" applyNumberFormat="0" applyProtection="0">
      <alignment horizontal="right" vertical="center"/>
    </xf>
    <xf numFmtId="0" fontId="14" fillId="45" borderId="8" applyNumberFormat="0" applyProtection="0">
      <alignment horizontal="left" vertical="center" indent="1"/>
    </xf>
    <xf numFmtId="0" fontId="118" fillId="8" borderId="92" applyBorder="0"/>
    <xf numFmtId="0" fontId="43" fillId="6" borderId="69" applyNumberFormat="0" applyProtection="0">
      <alignment horizontal="left" vertical="center" indent="1"/>
    </xf>
    <xf numFmtId="4" fontId="16" fillId="116" borderId="8" applyNumberFormat="0" applyProtection="0">
      <alignment horizontal="right" vertical="center"/>
    </xf>
    <xf numFmtId="4" fontId="43" fillId="36" borderId="69" applyNumberFormat="0" applyProtection="0">
      <alignment horizontal="right" vertical="center"/>
    </xf>
    <xf numFmtId="4" fontId="43" fillId="9" borderId="69" applyNumberFormat="0" applyProtection="0">
      <alignment horizontal="right" vertical="center"/>
    </xf>
    <xf numFmtId="4" fontId="43" fillId="38" borderId="69" applyNumberFormat="0" applyProtection="0">
      <alignment horizontal="right" vertical="center"/>
    </xf>
    <xf numFmtId="4" fontId="119" fillId="10" borderId="9" applyNumberFormat="0" applyProtection="0">
      <alignment horizontal="left" vertical="center" indent="1"/>
    </xf>
    <xf numFmtId="4" fontId="43" fillId="7" borderId="69" applyNumberFormat="0" applyProtection="0">
      <alignment horizontal="right" vertical="center"/>
    </xf>
    <xf numFmtId="4" fontId="43" fillId="33" borderId="69" applyNumberFormat="0" applyProtection="0">
      <alignment vertical="center"/>
    </xf>
    <xf numFmtId="4" fontId="16" fillId="123" borderId="8" applyNumberFormat="0" applyProtection="0">
      <alignment horizontal="left" vertical="center" indent="1"/>
    </xf>
    <xf numFmtId="4" fontId="43" fillId="106" borderId="69" applyNumberFormat="0" applyProtection="0">
      <alignment horizontal="left" vertical="center" indent="1"/>
    </xf>
    <xf numFmtId="0" fontId="43" fillId="10" borderId="69" applyNumberFormat="0" applyProtection="0">
      <alignment horizontal="left" vertical="center" indent="1"/>
    </xf>
    <xf numFmtId="4" fontId="43" fillId="41" borderId="83" applyNumberFormat="0" applyProtection="0">
      <alignment horizontal="left" vertical="center" indent="1"/>
    </xf>
    <xf numFmtId="4" fontId="16" fillId="113" borderId="8" applyNumberFormat="0" applyProtection="0">
      <alignment horizontal="right" vertical="center"/>
    </xf>
    <xf numFmtId="4" fontId="43" fillId="35" borderId="69" applyNumberFormat="0" applyProtection="0">
      <alignment horizontal="right" vertical="center"/>
    </xf>
    <xf numFmtId="4" fontId="14" fillId="8" borderId="83" applyNumberFormat="0" applyProtection="0">
      <alignment horizontal="left" vertical="center" indent="1"/>
    </xf>
    <xf numFmtId="0" fontId="14" fillId="45" borderId="8" applyNumberFormat="0" applyProtection="0">
      <alignment horizontal="left" vertical="center" indent="1"/>
    </xf>
    <xf numFmtId="4" fontId="43" fillId="39" borderId="69" applyNumberFormat="0" applyProtection="0">
      <alignment horizontal="right" vertical="center"/>
    </xf>
    <xf numFmtId="4" fontId="43" fillId="2" borderId="83" applyNumberFormat="0" applyProtection="0">
      <alignment horizontal="left" vertical="center" indent="1"/>
    </xf>
    <xf numFmtId="4" fontId="40" fillId="119" borderId="8" applyNumberFormat="0" applyProtection="0">
      <alignment horizontal="right" vertical="center"/>
    </xf>
    <xf numFmtId="4" fontId="43" fillId="2" borderId="83"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vertical="center"/>
    </xf>
    <xf numFmtId="4" fontId="43" fillId="106" borderId="69" applyNumberFormat="0" applyProtection="0">
      <alignment horizontal="left" vertical="center" indent="1"/>
    </xf>
    <xf numFmtId="0" fontId="43" fillId="26" borderId="69" applyNumberFormat="0" applyFont="0" applyAlignment="0" applyProtection="0"/>
    <xf numFmtId="0" fontId="108" fillId="10" borderId="1" applyNumberFormat="0" applyAlignment="0" applyProtection="0"/>
    <xf numFmtId="4" fontId="43" fillId="7" borderId="69" applyNumberFormat="0" applyProtection="0">
      <alignment horizontal="right" vertical="center"/>
    </xf>
    <xf numFmtId="0" fontId="117" fillId="33" borderId="9" applyNumberFormat="0" applyProtection="0">
      <alignment horizontal="left" vertical="top" indent="1"/>
    </xf>
    <xf numFmtId="4" fontId="43" fillId="33" borderId="69" applyNumberFormat="0" applyProtection="0">
      <alignment vertical="center"/>
    </xf>
    <xf numFmtId="0" fontId="107" fillId="101" borderId="69" applyNumberFormat="0" applyAlignment="0" applyProtection="0"/>
    <xf numFmtId="4" fontId="121" fillId="42" borderId="83" applyNumberFormat="0" applyProtection="0">
      <alignment horizontal="left" vertical="center" indent="1"/>
    </xf>
    <xf numFmtId="0" fontId="43" fillId="124" borderId="94"/>
    <xf numFmtId="0" fontId="119" fillId="2" borderId="9" applyNumberFormat="0" applyProtection="0">
      <alignment horizontal="left" vertical="top" indent="1"/>
    </xf>
    <xf numFmtId="4" fontId="40" fillId="119" borderId="8" applyNumberFormat="0" applyProtection="0">
      <alignment horizontal="right" vertical="center"/>
    </xf>
    <xf numFmtId="4" fontId="43" fillId="0" borderId="69" applyNumberFormat="0" applyProtection="0">
      <alignment horizontal="right" vertical="center"/>
    </xf>
    <xf numFmtId="0" fontId="14" fillId="107" borderId="8" applyNumberFormat="0" applyProtection="0">
      <alignment horizontal="left" vertical="center" indent="1"/>
    </xf>
    <xf numFmtId="4" fontId="43" fillId="0" borderId="69" applyNumberFormat="0" applyProtection="0">
      <alignment horizontal="right" vertical="center"/>
    </xf>
    <xf numFmtId="4" fontId="43" fillId="51" borderId="69" applyNumberFormat="0" applyProtection="0">
      <alignment horizontal="left" vertical="center" indent="1"/>
    </xf>
    <xf numFmtId="4" fontId="38" fillId="119" borderId="8" applyNumberFormat="0" applyProtection="0">
      <alignment horizontal="right" vertical="center"/>
    </xf>
    <xf numFmtId="0" fontId="34" fillId="101" borderId="8" applyNumberFormat="0" applyAlignment="0" applyProtection="0"/>
    <xf numFmtId="0" fontId="43" fillId="26" borderId="69" applyNumberFormat="0" applyFont="0" applyAlignment="0" applyProtection="0"/>
    <xf numFmtId="0" fontId="16" fillId="4"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3" fillId="72" borderId="0" applyNumberFormat="0" applyBorder="0" applyAlignment="0" applyProtection="0"/>
    <xf numFmtId="0" fontId="103" fillId="76" borderId="0" applyNumberFormat="0" applyBorder="0" applyAlignment="0" applyProtection="0"/>
    <xf numFmtId="0" fontId="103" fillId="80" borderId="0" applyNumberFormat="0" applyBorder="0" applyAlignment="0" applyProtection="0"/>
  </cellStyleXfs>
  <cellXfs count="701">
    <xf numFmtId="175" fontId="0" fillId="0" borderId="0" xfId="0"/>
    <xf numFmtId="3" fontId="14" fillId="0" borderId="24" xfId="0" applyNumberFormat="1" applyFont="1" applyBorder="1" applyAlignment="1">
      <alignment horizontal="center"/>
    </xf>
    <xf numFmtId="3" fontId="14" fillId="0" borderId="31" xfId="0" applyNumberFormat="1" applyFont="1" applyBorder="1" applyAlignment="1">
      <alignment horizontal="center"/>
    </xf>
    <xf numFmtId="3" fontId="14" fillId="0" borderId="33" xfId="0" applyNumberFormat="1" applyFont="1" applyBorder="1" applyAlignment="1">
      <alignment horizontal="center"/>
    </xf>
    <xf numFmtId="3" fontId="14" fillId="0" borderId="41" xfId="0" applyNumberFormat="1" applyFont="1" applyBorder="1" applyAlignment="1" applyProtection="1">
      <alignment wrapText="1"/>
      <protection locked="0"/>
    </xf>
    <xf numFmtId="165" fontId="14" fillId="0" borderId="25" xfId="0" applyNumberFormat="1" applyFont="1" applyBorder="1" applyAlignment="1" applyProtection="1">
      <alignment horizontal="center"/>
      <protection locked="0"/>
    </xf>
    <xf numFmtId="165" fontId="14" fillId="0" borderId="0" xfId="0" applyNumberFormat="1" applyFont="1" applyProtection="1">
      <protection locked="0"/>
    </xf>
    <xf numFmtId="3" fontId="14" fillId="0" borderId="48" xfId="0" applyNumberFormat="1" applyFont="1" applyBorder="1" applyAlignment="1" applyProtection="1">
      <alignment wrapText="1"/>
      <protection locked="0"/>
    </xf>
    <xf numFmtId="165" fontId="14" fillId="0" borderId="32" xfId="0" applyNumberFormat="1" applyFont="1" applyBorder="1" applyAlignment="1" applyProtection="1">
      <alignment horizontal="center"/>
      <protection locked="0"/>
    </xf>
    <xf numFmtId="165" fontId="14" fillId="0" borderId="0" xfId="0" applyNumberFormat="1" applyFont="1" applyAlignment="1" applyProtection="1">
      <alignment horizontal="center"/>
      <protection locked="0"/>
    </xf>
    <xf numFmtId="175" fontId="14" fillId="0" borderId="0" xfId="0" applyFont="1" applyProtection="1">
      <protection locked="0"/>
    </xf>
    <xf numFmtId="175" fontId="15" fillId="0" borderId="0" xfId="0" applyFont="1" applyAlignment="1" applyProtection="1">
      <alignment horizontal="center" wrapText="1"/>
      <protection locked="0"/>
    </xf>
    <xf numFmtId="3" fontId="14" fillId="0" borderId="0" xfId="0" applyNumberFormat="1" applyFont="1" applyProtection="1">
      <protection locked="0"/>
    </xf>
    <xf numFmtId="175" fontId="15" fillId="0" borderId="0" xfId="0" applyFont="1" applyAlignment="1" applyProtection="1">
      <alignment wrapText="1"/>
      <protection locked="0"/>
    </xf>
    <xf numFmtId="3" fontId="46" fillId="0" borderId="17" xfId="0" applyNumberFormat="1" applyFont="1" applyBorder="1" applyAlignment="1">
      <alignment horizontal="center"/>
    </xf>
    <xf numFmtId="6" fontId="14" fillId="0" borderId="0" xfId="66" applyNumberFormat="1"/>
    <xf numFmtId="175" fontId="14" fillId="0" borderId="0" xfId="66"/>
    <xf numFmtId="175" fontId="16" fillId="0" borderId="0" xfId="67"/>
    <xf numFmtId="175" fontId="35" fillId="0" borderId="11" xfId="67" applyFont="1" applyBorder="1" applyAlignment="1">
      <alignment horizontal="center"/>
    </xf>
    <xf numFmtId="175" fontId="35" fillId="0" borderId="0" xfId="67" applyFont="1" applyAlignment="1">
      <alignment horizontal="center"/>
    </xf>
    <xf numFmtId="175" fontId="15" fillId="0" borderId="43" xfId="66" applyFont="1" applyBorder="1"/>
    <xf numFmtId="175" fontId="15" fillId="0" borderId="45" xfId="66" applyFont="1" applyBorder="1" applyAlignment="1">
      <alignment wrapText="1"/>
    </xf>
    <xf numFmtId="175" fontId="44" fillId="0" borderId="0" xfId="66" applyFont="1"/>
    <xf numFmtId="175" fontId="15" fillId="44" borderId="35" xfId="66" applyFont="1" applyFill="1" applyBorder="1" applyAlignment="1">
      <alignment horizontal="center"/>
    </xf>
    <xf numFmtId="175" fontId="15" fillId="0" borderId="36" xfId="66" applyFont="1" applyBorder="1" applyAlignment="1">
      <alignment horizontal="center"/>
    </xf>
    <xf numFmtId="175" fontId="45" fillId="0" borderId="44" xfId="66" applyFont="1" applyBorder="1" applyAlignment="1">
      <alignment horizontal="center"/>
    </xf>
    <xf numFmtId="175" fontId="15" fillId="0" borderId="44" xfId="66" applyFont="1" applyBorder="1" applyAlignment="1">
      <alignment horizontal="center"/>
    </xf>
    <xf numFmtId="175" fontId="14" fillId="0" borderId="44" xfId="66" applyBorder="1"/>
    <xf numFmtId="164" fontId="14" fillId="0" borderId="0" xfId="66" applyNumberFormat="1"/>
    <xf numFmtId="175" fontId="15" fillId="0" borderId="44" xfId="66" applyFont="1" applyBorder="1"/>
    <xf numFmtId="164" fontId="14" fillId="0" borderId="0" xfId="66" applyNumberFormat="1" applyAlignment="1">
      <alignment horizontal="right"/>
    </xf>
    <xf numFmtId="175" fontId="15" fillId="0" borderId="44" xfId="66" applyFont="1" applyBorder="1" applyAlignment="1">
      <alignment horizontal="left" indent="1"/>
    </xf>
    <xf numFmtId="175" fontId="15" fillId="0" borderId="44" xfId="66" applyFont="1" applyBorder="1" applyAlignment="1">
      <alignment horizontal="center" wrapText="1"/>
    </xf>
    <xf numFmtId="175" fontId="15" fillId="0" borderId="43" xfId="66" applyFont="1" applyBorder="1" applyAlignment="1">
      <alignment horizontal="left" indent="1"/>
    </xf>
    <xf numFmtId="175" fontId="15" fillId="0" borderId="47" xfId="66" applyFont="1" applyBorder="1" applyAlignment="1">
      <alignment horizontal="left" indent="1"/>
    </xf>
    <xf numFmtId="164" fontId="14" fillId="44" borderId="0" xfId="66" applyNumberFormat="1" applyFill="1"/>
    <xf numFmtId="175" fontId="15" fillId="0" borderId="37" xfId="66" applyFont="1" applyBorder="1" applyAlignment="1">
      <alignment wrapText="1"/>
    </xf>
    <xf numFmtId="164" fontId="15" fillId="0" borderId="37" xfId="66" applyNumberFormat="1" applyFont="1" applyBorder="1"/>
    <xf numFmtId="175" fontId="15" fillId="0" borderId="0" xfId="0" applyFont="1"/>
    <xf numFmtId="175" fontId="0" fillId="0" borderId="15" xfId="0" applyBorder="1"/>
    <xf numFmtId="175" fontId="15" fillId="0" borderId="34" xfId="0" applyFont="1" applyBorder="1"/>
    <xf numFmtId="175" fontId="14" fillId="0" borderId="0" xfId="0" applyFont="1"/>
    <xf numFmtId="175" fontId="14" fillId="0" borderId="13" xfId="0" applyFont="1" applyBorder="1"/>
    <xf numFmtId="175" fontId="35" fillId="0" borderId="0" xfId="0" applyFont="1" applyProtection="1">
      <protection locked="0"/>
    </xf>
    <xf numFmtId="175" fontId="16" fillId="0" borderId="0" xfId="0" applyFont="1" applyProtection="1">
      <protection locked="0"/>
    </xf>
    <xf numFmtId="165" fontId="16" fillId="0" borderId="0" xfId="0" applyNumberFormat="1" applyFont="1" applyProtection="1">
      <protection locked="0"/>
    </xf>
    <xf numFmtId="175" fontId="47" fillId="0" borderId="0" xfId="0" applyFont="1" applyProtection="1">
      <protection locked="0"/>
    </xf>
    <xf numFmtId="172" fontId="35" fillId="0" borderId="0" xfId="0" applyNumberFormat="1" applyFont="1" applyAlignment="1" applyProtection="1">
      <alignment horizontal="right"/>
      <protection locked="0"/>
    </xf>
    <xf numFmtId="172" fontId="35" fillId="0" borderId="0" xfId="0" applyNumberFormat="1" applyFont="1" applyAlignment="1" applyProtection="1">
      <alignment horizontal="center"/>
      <protection locked="0"/>
    </xf>
    <xf numFmtId="38" fontId="48" fillId="0" borderId="0" xfId="0" applyNumberFormat="1" applyFont="1" applyProtection="1">
      <protection locked="0"/>
    </xf>
    <xf numFmtId="165" fontId="48" fillId="0" borderId="0" xfId="0" applyNumberFormat="1" applyFont="1" applyProtection="1">
      <protection locked="0"/>
    </xf>
    <xf numFmtId="175" fontId="48" fillId="0" borderId="0" xfId="0" applyFont="1" applyProtection="1">
      <protection locked="0"/>
    </xf>
    <xf numFmtId="175" fontId="16" fillId="0" borderId="0" xfId="0" applyFont="1" applyAlignment="1" applyProtection="1">
      <alignment horizontal="left" indent="1"/>
      <protection locked="0"/>
    </xf>
    <xf numFmtId="175" fontId="16" fillId="0" borderId="0" xfId="0" applyFont="1"/>
    <xf numFmtId="175" fontId="35" fillId="0" borderId="11" xfId="0" applyFont="1" applyBorder="1" applyAlignment="1">
      <alignment horizontal="center" wrapText="1"/>
    </xf>
    <xf numFmtId="175" fontId="16" fillId="0" borderId="11" xfId="0" applyFont="1" applyBorder="1"/>
    <xf numFmtId="172" fontId="16" fillId="0" borderId="11" xfId="0" applyNumberFormat="1" applyFont="1" applyBorder="1"/>
    <xf numFmtId="172" fontId="16" fillId="0" borderId="11" xfId="46" applyNumberFormat="1" applyFont="1" applyBorder="1" applyAlignment="1">
      <alignment horizontal="right"/>
    </xf>
    <xf numFmtId="166" fontId="16" fillId="0" borderId="11" xfId="46" applyNumberFormat="1" applyFont="1" applyBorder="1" applyAlignment="1">
      <alignment horizontal="right"/>
    </xf>
    <xf numFmtId="172" fontId="35" fillId="0" borderId="11" xfId="46" applyNumberFormat="1" applyFont="1" applyBorder="1" applyAlignment="1">
      <alignment horizontal="right" wrapText="1"/>
    </xf>
    <xf numFmtId="166" fontId="35" fillId="0" borderId="11" xfId="0" applyNumberFormat="1" applyFont="1" applyBorder="1"/>
    <xf numFmtId="166" fontId="16" fillId="0" borderId="11" xfId="46" applyNumberFormat="1" applyFont="1" applyBorder="1" applyAlignment="1">
      <alignment horizontal="right" wrapText="1"/>
    </xf>
    <xf numFmtId="166" fontId="16" fillId="0" borderId="11" xfId="0" applyNumberFormat="1" applyFont="1" applyBorder="1"/>
    <xf numFmtId="175" fontId="35" fillId="0" borderId="20" xfId="0" applyFont="1" applyBorder="1"/>
    <xf numFmtId="166" fontId="35" fillId="0" borderId="20" xfId="0" applyNumberFormat="1" applyFont="1" applyBorder="1"/>
    <xf numFmtId="175" fontId="35" fillId="0" borderId="20" xfId="0" applyFont="1" applyBorder="1" applyAlignment="1">
      <alignment horizontal="center"/>
    </xf>
    <xf numFmtId="166" fontId="35" fillId="0" borderId="11" xfId="0" applyNumberFormat="1" applyFont="1" applyBorder="1" applyAlignment="1">
      <alignment horizontal="center" wrapText="1"/>
    </xf>
    <xf numFmtId="166" fontId="35" fillId="0" borderId="11" xfId="0" applyNumberFormat="1" applyFont="1" applyBorder="1" applyAlignment="1">
      <alignment horizontal="center"/>
    </xf>
    <xf numFmtId="166" fontId="35" fillId="0" borderId="20" xfId="0" applyNumberFormat="1" applyFont="1" applyBorder="1" applyAlignment="1">
      <alignment horizontal="center"/>
    </xf>
    <xf numFmtId="166" fontId="16" fillId="0" borderId="27" xfId="0" applyNumberFormat="1" applyFont="1" applyBorder="1"/>
    <xf numFmtId="166" fontId="35" fillId="0" borderId="27" xfId="0" applyNumberFormat="1" applyFont="1" applyBorder="1"/>
    <xf numFmtId="166" fontId="16" fillId="0" borderId="18" xfId="46" applyNumberFormat="1" applyFont="1" applyBorder="1" applyAlignment="1">
      <alignment horizontal="right"/>
    </xf>
    <xf numFmtId="166" fontId="16" fillId="0" borderId="18" xfId="0" applyNumberFormat="1" applyFont="1" applyBorder="1"/>
    <xf numFmtId="166" fontId="16" fillId="0" borderId="19" xfId="0" applyNumberFormat="1" applyFont="1" applyBorder="1"/>
    <xf numFmtId="172" fontId="35" fillId="0" borderId="11" xfId="0" applyNumberFormat="1" applyFont="1" applyBorder="1"/>
    <xf numFmtId="166" fontId="35" fillId="0" borderId="11" xfId="46" applyNumberFormat="1" applyFont="1" applyBorder="1" applyAlignment="1">
      <alignment horizontal="right"/>
    </xf>
    <xf numFmtId="172" fontId="35" fillId="0" borderId="20" xfId="0" applyNumberFormat="1" applyFont="1" applyBorder="1" applyAlignment="1">
      <alignment horizontal="right"/>
    </xf>
    <xf numFmtId="172" fontId="35" fillId="0" borderId="20" xfId="0" applyNumberFormat="1" applyFont="1" applyBorder="1" applyAlignment="1">
      <alignment horizontal="center"/>
    </xf>
    <xf numFmtId="166" fontId="16" fillId="0" borderId="11" xfId="0" quotePrefix="1" applyNumberFormat="1" applyFont="1" applyBorder="1" applyAlignment="1">
      <alignment horizontal="center"/>
    </xf>
    <xf numFmtId="166" fontId="16" fillId="0" borderId="11" xfId="46" applyNumberFormat="1" applyFont="1" applyBorder="1" applyAlignment="1">
      <alignment horizontal="center"/>
    </xf>
    <xf numFmtId="166" fontId="35" fillId="0" borderId="20" xfId="0" applyNumberFormat="1" applyFont="1" applyBorder="1" applyAlignment="1">
      <alignment horizontal="right"/>
    </xf>
    <xf numFmtId="175" fontId="35" fillId="0" borderId="27" xfId="0" applyFont="1" applyBorder="1"/>
    <xf numFmtId="175" fontId="35" fillId="0" borderId="0" xfId="0" applyFont="1"/>
    <xf numFmtId="38" fontId="16" fillId="0" borderId="0" xfId="0" applyNumberFormat="1" applyFont="1"/>
    <xf numFmtId="165" fontId="16" fillId="0" borderId="0" xfId="0" applyNumberFormat="1" applyFont="1"/>
    <xf numFmtId="175" fontId="14" fillId="0" borderId="13" xfId="0" applyFont="1" applyBorder="1" applyProtection="1">
      <protection locked="0"/>
    </xf>
    <xf numFmtId="9" fontId="14" fillId="0" borderId="0" xfId="145" applyFont="1" applyProtection="1">
      <protection locked="0"/>
    </xf>
    <xf numFmtId="175" fontId="15" fillId="0" borderId="14" xfId="0" applyFont="1" applyBorder="1" applyAlignment="1" applyProtection="1">
      <alignment horizontal="center"/>
      <protection locked="0"/>
    </xf>
    <xf numFmtId="175" fontId="14" fillId="0" borderId="16" xfId="0" applyFont="1" applyBorder="1" applyProtection="1">
      <protection locked="0"/>
    </xf>
    <xf numFmtId="175" fontId="15" fillId="0" borderId="11" xfId="0" applyFont="1" applyBorder="1" applyAlignment="1" applyProtection="1">
      <alignment horizontal="center"/>
      <protection locked="0"/>
    </xf>
    <xf numFmtId="166" fontId="14" fillId="0" borderId="0" xfId="0" applyNumberFormat="1" applyFont="1" applyAlignment="1">
      <alignment horizontal="center"/>
    </xf>
    <xf numFmtId="173" fontId="14" fillId="0" borderId="0" xfId="0" applyNumberFormat="1" applyFont="1" applyAlignment="1">
      <alignment horizontal="center"/>
    </xf>
    <xf numFmtId="3" fontId="14" fillId="0" borderId="0" xfId="0" applyNumberFormat="1" applyFont="1" applyAlignment="1">
      <alignment horizontal="center"/>
    </xf>
    <xf numFmtId="165" fontId="14" fillId="0" borderId="0" xfId="0" applyNumberFormat="1" applyFont="1" applyAlignment="1">
      <alignment horizontal="center"/>
    </xf>
    <xf numFmtId="175" fontId="35" fillId="0" borderId="16" xfId="0" applyFont="1" applyBorder="1" applyAlignment="1" applyProtection="1">
      <alignment horizontal="center"/>
      <protection locked="0"/>
    </xf>
    <xf numFmtId="175" fontId="16" fillId="0" borderId="11" xfId="0" applyFont="1" applyBorder="1" applyProtection="1">
      <protection locked="0"/>
    </xf>
    <xf numFmtId="175" fontId="35" fillId="0" borderId="20" xfId="0" applyFont="1" applyBorder="1" applyProtection="1">
      <protection locked="0"/>
    </xf>
    <xf numFmtId="175" fontId="35" fillId="0" borderId="20" xfId="0" applyFont="1" applyBorder="1" applyAlignment="1" applyProtection="1">
      <alignment horizontal="center"/>
      <protection locked="0"/>
    </xf>
    <xf numFmtId="175" fontId="35" fillId="0" borderId="22" xfId="0" applyFont="1" applyBorder="1" applyProtection="1">
      <protection locked="0"/>
    </xf>
    <xf numFmtId="175" fontId="16" fillId="0" borderId="11" xfId="0" applyFont="1" applyBorder="1" applyAlignment="1" applyProtection="1">
      <alignment wrapText="1" shrinkToFit="1"/>
      <protection locked="0"/>
    </xf>
    <xf numFmtId="175" fontId="35" fillId="0" borderId="11" xfId="0" applyFont="1" applyBorder="1" applyProtection="1">
      <protection locked="0"/>
    </xf>
    <xf numFmtId="175" fontId="16" fillId="0" borderId="16" xfId="0" applyFont="1" applyBorder="1" applyProtection="1">
      <protection locked="0"/>
    </xf>
    <xf numFmtId="38" fontId="54" fillId="0" borderId="17" xfId="0" applyNumberFormat="1" applyFont="1" applyBorder="1" applyAlignment="1">
      <alignment horizontal="center"/>
    </xf>
    <xf numFmtId="172" fontId="16" fillId="0" borderId="11" xfId="0" quotePrefix="1" applyNumberFormat="1" applyFont="1" applyBorder="1" applyAlignment="1">
      <alignment horizontal="center"/>
    </xf>
    <xf numFmtId="172" fontId="16" fillId="0" borderId="11" xfId="0" quotePrefix="1" applyNumberFormat="1" applyFont="1" applyBorder="1" applyAlignment="1">
      <alignment horizontal="right"/>
    </xf>
    <xf numFmtId="172" fontId="35" fillId="0" borderId="20" xfId="0" quotePrefix="1" applyNumberFormat="1" applyFont="1" applyBorder="1" applyAlignment="1">
      <alignment horizontal="center"/>
    </xf>
    <xf numFmtId="172" fontId="35" fillId="0" borderId="20" xfId="0" applyNumberFormat="1" applyFont="1" applyBorder="1"/>
    <xf numFmtId="38" fontId="16" fillId="0" borderId="11" xfId="0" applyNumberFormat="1" applyFont="1" applyBorder="1"/>
    <xf numFmtId="165" fontId="35" fillId="0" borderId="11" xfId="0" applyNumberFormat="1" applyFont="1" applyBorder="1"/>
    <xf numFmtId="172" fontId="35" fillId="0" borderId="11" xfId="46" applyNumberFormat="1" applyFont="1" applyBorder="1" applyAlignment="1">
      <alignment horizontal="right"/>
    </xf>
    <xf numFmtId="38" fontId="16" fillId="0" borderId="27" xfId="0" applyNumberFormat="1" applyFont="1" applyBorder="1"/>
    <xf numFmtId="165" fontId="35" fillId="0" borderId="27" xfId="0" applyNumberFormat="1" applyFont="1" applyBorder="1"/>
    <xf numFmtId="175" fontId="16" fillId="0" borderId="20" xfId="0" applyFont="1" applyBorder="1"/>
    <xf numFmtId="170" fontId="16" fillId="0" borderId="18" xfId="46" applyNumberFormat="1" applyFont="1" applyBorder="1" applyAlignment="1">
      <alignment horizontal="right"/>
    </xf>
    <xf numFmtId="169" fontId="35" fillId="0" borderId="18" xfId="46" applyNumberFormat="1" applyFont="1" applyBorder="1" applyAlignment="1">
      <alignment horizontal="right"/>
    </xf>
    <xf numFmtId="170" fontId="16" fillId="0" borderId="11" xfId="46" applyNumberFormat="1" applyFont="1" applyBorder="1" applyAlignment="1">
      <alignment horizontal="right"/>
    </xf>
    <xf numFmtId="169" fontId="35" fillId="0" borderId="11" xfId="46" applyNumberFormat="1" applyFont="1" applyBorder="1" applyAlignment="1">
      <alignment horizontal="right"/>
    </xf>
    <xf numFmtId="166" fontId="35" fillId="0" borderId="11" xfId="46" applyNumberFormat="1" applyFont="1" applyBorder="1" applyAlignment="1">
      <alignment horizontal="right" wrapText="1"/>
    </xf>
    <xf numFmtId="166" fontId="16" fillId="0" borderId="11" xfId="0" quotePrefix="1" applyNumberFormat="1" applyFont="1" applyBorder="1" applyAlignment="1">
      <alignment horizontal="right"/>
    </xf>
    <xf numFmtId="166" fontId="35" fillId="0" borderId="20" xfId="0" quotePrefix="1" applyNumberFormat="1" applyFont="1" applyBorder="1" applyAlignment="1">
      <alignment horizontal="center"/>
    </xf>
    <xf numFmtId="166" fontId="16" fillId="0" borderId="20" xfId="0" applyNumberFormat="1" applyFont="1" applyBorder="1"/>
    <xf numFmtId="166" fontId="35" fillId="0" borderId="18" xfId="46" applyNumberFormat="1" applyFont="1" applyBorder="1" applyAlignment="1">
      <alignment horizontal="right"/>
    </xf>
    <xf numFmtId="175" fontId="16" fillId="0" borderId="18" xfId="0" applyFont="1" applyBorder="1"/>
    <xf numFmtId="175" fontId="60" fillId="0" borderId="0" xfId="0" applyFont="1"/>
    <xf numFmtId="3" fontId="46" fillId="0" borderId="17" xfId="0" applyNumberFormat="1" applyFont="1" applyBorder="1" applyAlignment="1" applyProtection="1">
      <alignment horizontal="center"/>
      <protection locked="0"/>
    </xf>
    <xf numFmtId="3" fontId="14" fillId="0" borderId="24" xfId="0" applyNumberFormat="1" applyFont="1" applyBorder="1" applyAlignment="1" applyProtection="1">
      <alignment horizontal="center"/>
      <protection locked="0"/>
    </xf>
    <xf numFmtId="3" fontId="46" fillId="0" borderId="20" xfId="0" applyNumberFormat="1" applyFont="1" applyBorder="1" applyAlignment="1" applyProtection="1">
      <alignment horizontal="center"/>
      <protection locked="0"/>
    </xf>
    <xf numFmtId="38" fontId="54" fillId="0" borderId="11" xfId="146" applyNumberFormat="1" applyFont="1" applyBorder="1" applyAlignment="1" applyProtection="1">
      <alignment horizontal="center"/>
      <protection locked="0"/>
    </xf>
    <xf numFmtId="175" fontId="35" fillId="0" borderId="11" xfId="0" applyFont="1" applyBorder="1" applyAlignment="1" applyProtection="1">
      <alignment horizontal="center" wrapText="1"/>
      <protection locked="0"/>
    </xf>
    <xf numFmtId="175" fontId="15" fillId="0" borderId="0" xfId="66" applyFont="1" applyProtection="1">
      <protection locked="0"/>
    </xf>
    <xf numFmtId="175" fontId="14" fillId="0" borderId="0" xfId="66" applyProtection="1">
      <protection locked="0"/>
    </xf>
    <xf numFmtId="175" fontId="14" fillId="0" borderId="36" xfId="66" applyBorder="1" applyProtection="1">
      <protection locked="0"/>
    </xf>
    <xf numFmtId="175" fontId="14" fillId="0" borderId="37" xfId="66" applyBorder="1" applyProtection="1">
      <protection locked="0"/>
    </xf>
    <xf numFmtId="175" fontId="14" fillId="0" borderId="38" xfId="66" applyBorder="1" applyProtection="1">
      <protection locked="0"/>
    </xf>
    <xf numFmtId="175" fontId="14" fillId="0" borderId="14" xfId="66" applyBorder="1" applyProtection="1">
      <protection locked="0"/>
    </xf>
    <xf numFmtId="175" fontId="14" fillId="0" borderId="18" xfId="66" applyBorder="1" applyProtection="1">
      <protection locked="0"/>
    </xf>
    <xf numFmtId="175" fontId="14" fillId="0" borderId="19" xfId="66" applyBorder="1" applyProtection="1">
      <protection locked="0"/>
    </xf>
    <xf numFmtId="175" fontId="15" fillId="0" borderId="11" xfId="66" applyFont="1" applyBorder="1" applyAlignment="1" applyProtection="1">
      <alignment horizontal="center" wrapText="1"/>
      <protection locked="0"/>
    </xf>
    <xf numFmtId="6" fontId="14" fillId="0" borderId="0" xfId="66" applyNumberFormat="1" applyProtection="1">
      <protection locked="0"/>
    </xf>
    <xf numFmtId="175" fontId="14" fillId="0" borderId="13" xfId="66" applyBorder="1" applyProtection="1">
      <protection locked="0"/>
    </xf>
    <xf numFmtId="164" fontId="14" fillId="0" borderId="42" xfId="66" applyNumberFormat="1" applyBorder="1" applyProtection="1">
      <protection locked="0"/>
    </xf>
    <xf numFmtId="175" fontId="14" fillId="0" borderId="42" xfId="66" applyBorder="1" applyProtection="1">
      <protection locked="0"/>
    </xf>
    <xf numFmtId="175" fontId="16" fillId="0" borderId="0" xfId="67" applyProtection="1">
      <protection locked="0"/>
    </xf>
    <xf numFmtId="175" fontId="16" fillId="0" borderId="11" xfId="67" applyBorder="1" applyProtection="1">
      <protection locked="0"/>
    </xf>
    <xf numFmtId="175" fontId="35" fillId="0" borderId="11" xfId="67" applyFont="1" applyBorder="1" applyProtection="1">
      <protection locked="0"/>
    </xf>
    <xf numFmtId="175" fontId="53" fillId="0" borderId="0" xfId="0" applyFont="1" applyProtection="1">
      <protection locked="0"/>
    </xf>
    <xf numFmtId="175" fontId="15" fillId="0" borderId="0" xfId="0" applyFont="1" applyProtection="1">
      <protection locked="0"/>
    </xf>
    <xf numFmtId="175" fontId="64" fillId="0" borderId="0" xfId="0" applyFont="1" applyAlignment="1">
      <alignment horizontal="left" vertical="center" indent="4"/>
    </xf>
    <xf numFmtId="175" fontId="15" fillId="0" borderId="0" xfId="0" applyFont="1" applyAlignment="1" applyProtection="1">
      <alignment horizontal="center"/>
      <protection locked="0"/>
    </xf>
    <xf numFmtId="17" fontId="15" fillId="0" borderId="0" xfId="0" quotePrefix="1" applyNumberFormat="1" applyFont="1" applyAlignment="1" applyProtection="1">
      <alignment horizontal="center"/>
      <protection locked="0"/>
    </xf>
    <xf numFmtId="175" fontId="0" fillId="47" borderId="0" xfId="0" applyFill="1"/>
    <xf numFmtId="17" fontId="15" fillId="47" borderId="0" xfId="0" quotePrefix="1" applyNumberFormat="1" applyFont="1" applyFill="1" applyAlignment="1" applyProtection="1">
      <alignment horizontal="center"/>
      <protection locked="0"/>
    </xf>
    <xf numFmtId="175" fontId="14" fillId="47" borderId="0" xfId="0" applyFont="1" applyFill="1" applyProtection="1">
      <protection locked="0"/>
    </xf>
    <xf numFmtId="175" fontId="52" fillId="0" borderId="0" xfId="0" applyFont="1" applyAlignment="1">
      <alignment horizontal="center"/>
    </xf>
    <xf numFmtId="38" fontId="14" fillId="0" borderId="24" xfId="0" applyNumberFormat="1" applyFont="1" applyBorder="1" applyAlignment="1">
      <alignment horizontal="center"/>
    </xf>
    <xf numFmtId="38" fontId="14" fillId="0" borderId="24" xfId="0" applyNumberFormat="1" applyFont="1" applyBorder="1" applyAlignment="1" applyProtection="1">
      <alignment horizontal="center"/>
      <protection locked="0"/>
    </xf>
    <xf numFmtId="175" fontId="14" fillId="0" borderId="17" xfId="0" applyFont="1" applyBorder="1" applyProtection="1">
      <protection locked="0"/>
    </xf>
    <xf numFmtId="3" fontId="14" fillId="0" borderId="29" xfId="0" applyNumberFormat="1" applyFont="1" applyBorder="1" applyAlignment="1">
      <alignment horizontal="center"/>
    </xf>
    <xf numFmtId="3" fontId="54" fillId="0" borderId="22" xfId="0" applyNumberFormat="1" applyFont="1" applyBorder="1" applyAlignment="1">
      <alignment horizontal="center"/>
    </xf>
    <xf numFmtId="3" fontId="54" fillId="0" borderId="17" xfId="0" applyNumberFormat="1" applyFont="1" applyBorder="1" applyAlignment="1">
      <alignment horizontal="center"/>
    </xf>
    <xf numFmtId="175" fontId="14" fillId="47" borderId="0" xfId="66" applyFill="1"/>
    <xf numFmtId="175" fontId="15" fillId="47" borderId="0" xfId="0" applyFont="1" applyFill="1" applyAlignment="1" applyProtection="1">
      <alignment horizontal="center"/>
      <protection locked="0"/>
    </xf>
    <xf numFmtId="175" fontId="15" fillId="0" borderId="11" xfId="0" applyFont="1" applyBorder="1" applyAlignment="1" applyProtection="1">
      <alignment horizontal="left"/>
      <protection locked="0"/>
    </xf>
    <xf numFmtId="17" fontId="16" fillId="0" borderId="0" xfId="0" applyNumberFormat="1" applyFont="1" applyAlignment="1" applyProtection="1">
      <alignment horizontal="center"/>
      <protection locked="0"/>
    </xf>
    <xf numFmtId="175" fontId="35" fillId="48" borderId="20" xfId="0" applyFont="1" applyFill="1" applyBorder="1" applyAlignment="1" applyProtection="1">
      <alignment horizontal="center" vertical="center"/>
      <protection locked="0"/>
    </xf>
    <xf numFmtId="175" fontId="35" fillId="48" borderId="11" xfId="0" applyFont="1" applyFill="1" applyBorder="1" applyAlignment="1" applyProtection="1">
      <alignment horizontal="center" vertical="center"/>
      <protection locked="0"/>
    </xf>
    <xf numFmtId="175" fontId="35" fillId="0" borderId="20" xfId="0" applyFont="1" applyBorder="1" applyAlignment="1" applyProtection="1">
      <alignment horizontal="right"/>
      <protection locked="0"/>
    </xf>
    <xf numFmtId="175" fontId="16" fillId="0" borderId="11" xfId="0" applyFont="1" applyBorder="1" applyAlignment="1" applyProtection="1">
      <alignment horizontal="left"/>
      <protection locked="0"/>
    </xf>
    <xf numFmtId="175" fontId="15" fillId="0" borderId="19" xfId="0" applyFont="1" applyBorder="1" applyAlignment="1" applyProtection="1">
      <alignment horizontal="center" wrapText="1"/>
      <protection locked="0"/>
    </xf>
    <xf numFmtId="3" fontId="15" fillId="0" borderId="26" xfId="0" applyNumberFormat="1" applyFont="1" applyBorder="1" applyAlignment="1">
      <alignment horizontal="center" wrapText="1"/>
    </xf>
    <xf numFmtId="174" fontId="14" fillId="0" borderId="24" xfId="0" applyNumberFormat="1" applyFont="1" applyBorder="1"/>
    <xf numFmtId="3" fontId="15" fillId="0" borderId="27" xfId="0" applyNumberFormat="1" applyFont="1" applyBorder="1" applyAlignment="1">
      <alignment horizontal="center" wrapText="1"/>
    </xf>
    <xf numFmtId="175" fontId="15" fillId="0" borderId="50" xfId="0" applyFont="1" applyBorder="1" applyAlignment="1">
      <alignment horizontal="center"/>
    </xf>
    <xf numFmtId="4" fontId="14" fillId="0" borderId="32" xfId="0" applyNumberFormat="1" applyFont="1" applyBorder="1" applyAlignment="1">
      <alignment horizontal="right"/>
    </xf>
    <xf numFmtId="4" fontId="14" fillId="0" borderId="29" xfId="0" applyNumberFormat="1" applyFont="1" applyBorder="1" applyAlignment="1">
      <alignment horizontal="right"/>
    </xf>
    <xf numFmtId="175" fontId="15" fillId="0" borderId="17" xfId="0" applyFont="1" applyBorder="1" applyProtection="1">
      <protection locked="0"/>
    </xf>
    <xf numFmtId="175" fontId="15" fillId="0" borderId="11" xfId="0" applyFont="1" applyBorder="1" applyProtection="1">
      <protection locked="0"/>
    </xf>
    <xf numFmtId="175" fontId="15" fillId="0" borderId="18" xfId="0" applyFont="1" applyBorder="1" applyAlignment="1" applyProtection="1">
      <alignment horizontal="center" wrapText="1"/>
      <protection locked="0"/>
    </xf>
    <xf numFmtId="175" fontId="15" fillId="0" borderId="11" xfId="0" applyFont="1" applyBorder="1" applyAlignment="1" applyProtection="1">
      <alignment horizontal="center" wrapText="1"/>
      <protection locked="0"/>
    </xf>
    <xf numFmtId="175" fontId="15" fillId="0" borderId="18" xfId="0" applyFont="1" applyBorder="1" applyAlignment="1">
      <alignment horizontal="center" wrapText="1"/>
    </xf>
    <xf numFmtId="175" fontId="15" fillId="0" borderId="18" xfId="0" applyFont="1" applyBorder="1" applyAlignment="1">
      <alignment horizontal="center"/>
    </xf>
    <xf numFmtId="175" fontId="15" fillId="0" borderId="20" xfId="0" applyFont="1" applyBorder="1" applyAlignment="1">
      <alignment horizontal="center" wrapText="1"/>
    </xf>
    <xf numFmtId="175" fontId="15" fillId="0" borderId="19" xfId="0" applyFont="1" applyBorder="1" applyAlignment="1">
      <alignment horizontal="center"/>
    </xf>
    <xf numFmtId="175" fontId="15" fillId="0" borderId="19" xfId="0" applyFont="1" applyBorder="1" applyAlignment="1" applyProtection="1">
      <alignment horizontal="center"/>
      <protection locked="0"/>
    </xf>
    <xf numFmtId="175" fontId="15" fillId="0" borderId="23" xfId="0" applyFont="1" applyBorder="1" applyProtection="1">
      <protection locked="0"/>
    </xf>
    <xf numFmtId="3" fontId="15" fillId="0" borderId="20" xfId="0" applyNumberFormat="1" applyFont="1" applyBorder="1" applyAlignment="1">
      <alignment horizontal="center" wrapText="1"/>
    </xf>
    <xf numFmtId="2" fontId="15" fillId="0" borderId="18" xfId="0" applyNumberFormat="1" applyFont="1" applyBorder="1" applyAlignment="1">
      <alignment horizontal="center" wrapText="1"/>
    </xf>
    <xf numFmtId="175" fontId="15" fillId="0" borderId="26" xfId="0" applyFont="1" applyBorder="1" applyAlignment="1">
      <alignment horizontal="center"/>
    </xf>
    <xf numFmtId="3" fontId="15" fillId="0" borderId="18" xfId="0" applyNumberFormat="1" applyFont="1" applyBorder="1" applyAlignment="1">
      <alignment horizontal="center" wrapText="1"/>
    </xf>
    <xf numFmtId="3" fontId="15" fillId="0" borderId="20" xfId="0" applyNumberFormat="1" applyFont="1" applyBorder="1" applyAlignment="1" applyProtection="1">
      <alignment horizontal="center" wrapText="1"/>
      <protection locked="0"/>
    </xf>
    <xf numFmtId="175" fontId="15" fillId="0" borderId="49" xfId="0" applyFont="1" applyBorder="1" applyAlignment="1">
      <alignment horizontal="center"/>
    </xf>
    <xf numFmtId="175" fontId="15" fillId="0" borderId="28" xfId="0" applyFont="1" applyBorder="1" applyProtection="1">
      <protection locked="0"/>
    </xf>
    <xf numFmtId="175" fontId="40" fillId="0" borderId="0" xfId="0" applyFont="1" applyProtection="1">
      <protection locked="0"/>
    </xf>
    <xf numFmtId="3" fontId="40" fillId="0" borderId="0" xfId="0" applyNumberFormat="1" applyFont="1" applyProtection="1">
      <protection locked="0"/>
    </xf>
    <xf numFmtId="1" fontId="40" fillId="0" borderId="0" xfId="0" applyNumberFormat="1" applyFont="1" applyProtection="1">
      <protection locked="0"/>
    </xf>
    <xf numFmtId="175" fontId="15" fillId="47" borderId="18" xfId="0" applyFont="1" applyFill="1" applyBorder="1" applyAlignment="1" applyProtection="1">
      <alignment horizontal="center" wrapText="1"/>
      <protection locked="0"/>
    </xf>
    <xf numFmtId="175" fontId="16" fillId="47" borderId="0" xfId="67" applyFill="1" applyProtection="1">
      <protection locked="0"/>
    </xf>
    <xf numFmtId="175" fontId="14" fillId="47" borderId="0" xfId="66" applyFill="1" applyProtection="1">
      <protection locked="0"/>
    </xf>
    <xf numFmtId="17" fontId="15" fillId="47" borderId="0" xfId="0" applyNumberFormat="1" applyFont="1" applyFill="1" applyAlignment="1" applyProtection="1">
      <alignment horizontal="center"/>
      <protection locked="0"/>
    </xf>
    <xf numFmtId="175" fontId="16" fillId="47" borderId="0" xfId="0" applyFont="1" applyFill="1" applyProtection="1">
      <protection locked="0"/>
    </xf>
    <xf numFmtId="164" fontId="14" fillId="0" borderId="51" xfId="66" applyNumberFormat="1" applyBorder="1" applyProtection="1">
      <protection locked="0"/>
    </xf>
    <xf numFmtId="175" fontId="52" fillId="47" borderId="0" xfId="0" applyFont="1" applyFill="1" applyAlignment="1">
      <alignment horizontal="center"/>
    </xf>
    <xf numFmtId="175" fontId="15" fillId="0" borderId="51" xfId="66" applyFont="1" applyBorder="1" applyProtection="1">
      <protection locked="0"/>
    </xf>
    <xf numFmtId="175" fontId="15" fillId="47" borderId="0" xfId="0" applyFont="1" applyFill="1" applyProtection="1">
      <protection locked="0"/>
    </xf>
    <xf numFmtId="175" fontId="0" fillId="0" borderId="0" xfId="0" quotePrefix="1"/>
    <xf numFmtId="175" fontId="14" fillId="47" borderId="17" xfId="0" applyFont="1" applyFill="1" applyBorder="1"/>
    <xf numFmtId="3" fontId="54" fillId="47" borderId="17" xfId="0" applyNumberFormat="1" applyFont="1" applyFill="1" applyBorder="1" applyAlignment="1">
      <alignment horizontal="center"/>
    </xf>
    <xf numFmtId="175" fontId="15" fillId="0" borderId="43" xfId="66" quotePrefix="1" applyFont="1" applyBorder="1" applyAlignment="1">
      <alignment horizontal="left" wrapText="1" indent="1"/>
    </xf>
    <xf numFmtId="175" fontId="16" fillId="0" borderId="0" xfId="0" quotePrefix="1" applyFont="1" applyProtection="1">
      <protection locked="0"/>
    </xf>
    <xf numFmtId="175" fontId="66" fillId="0" borderId="0" xfId="0" applyFont="1" applyAlignment="1" applyProtection="1">
      <alignment horizontal="center"/>
      <protection locked="0"/>
    </xf>
    <xf numFmtId="168" fontId="51" fillId="0" borderId="0" xfId="52" applyNumberFormat="1" applyFont="1"/>
    <xf numFmtId="175" fontId="67" fillId="43" borderId="0" xfId="66" applyFont="1" applyFill="1"/>
    <xf numFmtId="44" fontId="67" fillId="43" borderId="0" xfId="50" applyFont="1" applyFill="1"/>
    <xf numFmtId="175" fontId="67" fillId="47" borderId="0" xfId="66" applyFont="1" applyFill="1"/>
    <xf numFmtId="17" fontId="66" fillId="47" borderId="0" xfId="0" applyNumberFormat="1" applyFont="1" applyFill="1" applyAlignment="1" applyProtection="1">
      <alignment horizontal="center"/>
      <protection locked="0"/>
    </xf>
    <xf numFmtId="175" fontId="66" fillId="44" borderId="35" xfId="66" applyFont="1" applyFill="1" applyBorder="1"/>
    <xf numFmtId="175" fontId="67" fillId="43" borderId="37" xfId="66" applyFont="1" applyFill="1" applyBorder="1"/>
    <xf numFmtId="44" fontId="67" fillId="43" borderId="37" xfId="50" applyFont="1" applyFill="1" applyBorder="1"/>
    <xf numFmtId="175" fontId="66" fillId="44" borderId="43" xfId="66" applyFont="1" applyFill="1" applyBorder="1" applyAlignment="1">
      <alignment horizontal="center"/>
    </xf>
    <xf numFmtId="175" fontId="66" fillId="44" borderId="44" xfId="66" applyFont="1" applyFill="1" applyBorder="1" applyAlignment="1">
      <alignment horizontal="center"/>
    </xf>
    <xf numFmtId="175" fontId="66" fillId="43" borderId="0" xfId="66" applyFont="1" applyFill="1" applyAlignment="1">
      <alignment horizontal="center"/>
    </xf>
    <xf numFmtId="44" fontId="66" fillId="43" borderId="0" xfId="50" applyFont="1" applyFill="1" applyAlignment="1">
      <alignment horizontal="center"/>
    </xf>
    <xf numFmtId="175" fontId="66" fillId="0" borderId="44" xfId="66" applyFont="1" applyBorder="1" applyAlignment="1">
      <alignment horizontal="center"/>
    </xf>
    <xf numFmtId="164" fontId="67" fillId="0" borderId="0" xfId="66" applyNumberFormat="1" applyFont="1"/>
    <xf numFmtId="175" fontId="67" fillId="0" borderId="0" xfId="66" applyFont="1"/>
    <xf numFmtId="175" fontId="66" fillId="0" borderId="43" xfId="66" applyFont="1" applyBorder="1" applyAlignment="1">
      <alignment wrapText="1"/>
    </xf>
    <xf numFmtId="175" fontId="66" fillId="0" borderId="20" xfId="66" applyFont="1" applyBorder="1"/>
    <xf numFmtId="164" fontId="66" fillId="43" borderId="51" xfId="66" applyNumberFormat="1" applyFont="1" applyFill="1" applyBorder="1"/>
    <xf numFmtId="164" fontId="66" fillId="43" borderId="42" xfId="66" applyNumberFormat="1" applyFont="1" applyFill="1" applyBorder="1"/>
    <xf numFmtId="43" fontId="14" fillId="0" borderId="24" xfId="0" applyNumberFormat="1" applyFont="1" applyBorder="1" applyAlignment="1">
      <alignment horizontal="right"/>
    </xf>
    <xf numFmtId="175" fontId="14" fillId="47" borderId="13" xfId="0" applyFont="1" applyFill="1" applyBorder="1"/>
    <xf numFmtId="6" fontId="35" fillId="0" borderId="11" xfId="67" applyNumberFormat="1" applyFont="1" applyBorder="1" applyAlignment="1" applyProtection="1">
      <alignment horizontal="center"/>
      <protection locked="0"/>
    </xf>
    <xf numFmtId="4" fontId="14" fillId="0" borderId="24" xfId="0" applyNumberFormat="1" applyFont="1" applyBorder="1" applyAlignment="1">
      <alignment horizontal="right"/>
    </xf>
    <xf numFmtId="4" fontId="14" fillId="0" borderId="25" xfId="0" applyNumberFormat="1" applyFont="1" applyBorder="1" applyAlignment="1">
      <alignment horizontal="right"/>
    </xf>
    <xf numFmtId="2" fontId="14" fillId="0" borderId="24" xfId="0" applyNumberFormat="1" applyFont="1" applyBorder="1" applyAlignment="1">
      <alignment horizontal="right"/>
    </xf>
    <xf numFmtId="2" fontId="14" fillId="0" borderId="29" xfId="0" applyNumberFormat="1" applyFont="1" applyBorder="1" applyAlignment="1">
      <alignment horizontal="right"/>
    </xf>
    <xf numFmtId="165" fontId="14" fillId="0" borderId="32" xfId="0" applyNumberFormat="1" applyFont="1" applyBorder="1" applyAlignment="1">
      <alignment horizontal="right"/>
    </xf>
    <xf numFmtId="165" fontId="14" fillId="0" borderId="25" xfId="0" applyNumberFormat="1" applyFont="1" applyBorder="1" applyAlignment="1">
      <alignment horizontal="right"/>
    </xf>
    <xf numFmtId="175" fontId="69" fillId="0" borderId="0" xfId="0" applyFont="1" applyAlignment="1">
      <alignment vertical="center"/>
    </xf>
    <xf numFmtId="164" fontId="15" fillId="0" borderId="37" xfId="66" applyNumberFormat="1" applyFont="1" applyBorder="1" applyAlignment="1">
      <alignment horizontal="center"/>
    </xf>
    <xf numFmtId="175" fontId="14" fillId="0" borderId="0" xfId="66" applyAlignment="1">
      <alignment horizontal="center"/>
    </xf>
    <xf numFmtId="2" fontId="14" fillId="0" borderId="24" xfId="0" applyNumberFormat="1" applyFont="1" applyBorder="1"/>
    <xf numFmtId="2" fontId="14" fillId="0" borderId="25" xfId="0" applyNumberFormat="1" applyFont="1" applyBorder="1" applyAlignment="1">
      <alignment horizontal="right"/>
    </xf>
    <xf numFmtId="2" fontId="14" fillId="0" borderId="32" xfId="0" applyNumberFormat="1" applyFont="1" applyBorder="1" applyAlignment="1">
      <alignment horizontal="right"/>
    </xf>
    <xf numFmtId="2" fontId="14" fillId="0" borderId="29" xfId="0" applyNumberFormat="1" applyFont="1" applyBorder="1"/>
    <xf numFmtId="175" fontId="15" fillId="47" borderId="0" xfId="66" applyFont="1" applyFill="1" applyAlignment="1" applyProtection="1">
      <alignment horizontal="center"/>
      <protection locked="0"/>
    </xf>
    <xf numFmtId="171" fontId="15" fillId="47" borderId="0" xfId="0" applyNumberFormat="1" applyFont="1" applyFill="1" applyAlignment="1" applyProtection="1">
      <alignment horizontal="center"/>
      <protection locked="0"/>
    </xf>
    <xf numFmtId="175" fontId="69" fillId="0" borderId="0" xfId="0" applyFont="1" applyProtection="1">
      <protection locked="0"/>
    </xf>
    <xf numFmtId="175" fontId="69" fillId="0" borderId="0" xfId="0" applyFont="1"/>
    <xf numFmtId="175" fontId="69" fillId="0" borderId="0" xfId="0" applyFont="1" applyAlignment="1">
      <alignment vertical="top"/>
    </xf>
    <xf numFmtId="175" fontId="71" fillId="0" borderId="0" xfId="0" applyFont="1" applyAlignment="1" applyProtection="1">
      <alignment horizontal="left"/>
      <protection locked="0"/>
    </xf>
    <xf numFmtId="175" fontId="71" fillId="0" borderId="0" xfId="0" applyFont="1" applyAlignment="1">
      <alignment horizontal="left" vertical="top"/>
    </xf>
    <xf numFmtId="4" fontId="14" fillId="0" borderId="0" xfId="66" applyNumberFormat="1" applyProtection="1">
      <protection locked="0"/>
    </xf>
    <xf numFmtId="175" fontId="66" fillId="0" borderId="0" xfId="66" applyFont="1" applyAlignment="1">
      <alignment wrapText="1"/>
    </xf>
    <xf numFmtId="164" fontId="66" fillId="43" borderId="0" xfId="66" applyNumberFormat="1" applyFont="1" applyFill="1"/>
    <xf numFmtId="164" fontId="66" fillId="0" borderId="0" xfId="66" applyNumberFormat="1" applyFont="1" applyAlignment="1">
      <alignment horizontal="right"/>
    </xf>
    <xf numFmtId="165" fontId="14" fillId="0" borderId="24" xfId="0" applyNumberFormat="1" applyFont="1" applyBorder="1" applyAlignment="1">
      <alignment horizontal="right"/>
    </xf>
    <xf numFmtId="165" fontId="14" fillId="0" borderId="30" xfId="0" applyNumberFormat="1" applyFont="1" applyBorder="1" applyAlignment="1">
      <alignment horizontal="right"/>
    </xf>
    <xf numFmtId="39" fontId="15" fillId="0" borderId="11" xfId="0" applyNumberFormat="1" applyFont="1" applyBorder="1" applyAlignment="1">
      <alignment horizontal="center"/>
    </xf>
    <xf numFmtId="6" fontId="14" fillId="0" borderId="0" xfId="66" applyNumberFormat="1" applyAlignment="1" applyProtection="1">
      <alignment horizontal="center"/>
      <protection locked="0"/>
    </xf>
    <xf numFmtId="40" fontId="14" fillId="0" borderId="24" xfId="0" applyNumberFormat="1" applyFont="1" applyBorder="1" applyAlignment="1">
      <alignment horizontal="right"/>
    </xf>
    <xf numFmtId="40" fontId="14" fillId="0" borderId="25" xfId="0" applyNumberFormat="1" applyFont="1" applyBorder="1" applyAlignment="1">
      <alignment horizontal="right"/>
    </xf>
    <xf numFmtId="175" fontId="15" fillId="0" borderId="14" xfId="66" applyFont="1" applyBorder="1" applyAlignment="1" applyProtection="1">
      <alignment horizontal="right"/>
      <protection locked="0"/>
    </xf>
    <xf numFmtId="175" fontId="15" fillId="0" borderId="14" xfId="66" quotePrefix="1" applyFont="1" applyBorder="1" applyAlignment="1" applyProtection="1">
      <alignment horizontal="right"/>
      <protection locked="0"/>
    </xf>
    <xf numFmtId="6" fontId="51" fillId="0" borderId="0" xfId="520" applyNumberFormat="1" applyFont="1"/>
    <xf numFmtId="175" fontId="69" fillId="47" borderId="0" xfId="66" applyFont="1" applyFill="1" applyProtection="1">
      <protection locked="0"/>
    </xf>
    <xf numFmtId="0" fontId="51" fillId="0" borderId="0" xfId="520" applyFont="1"/>
    <xf numFmtId="0" fontId="14" fillId="0" borderId="0" xfId="522"/>
    <xf numFmtId="0" fontId="51" fillId="47" borderId="0" xfId="520" applyFont="1" applyFill="1"/>
    <xf numFmtId="168" fontId="51" fillId="0" borderId="0" xfId="520" applyNumberFormat="1" applyFont="1"/>
    <xf numFmtId="4" fontId="14" fillId="0" borderId="30" xfId="0" applyNumberFormat="1" applyFont="1" applyBorder="1" applyAlignment="1">
      <alignment horizontal="right"/>
    </xf>
    <xf numFmtId="175" fontId="35" fillId="0" borderId="0" xfId="67" applyFont="1"/>
    <xf numFmtId="3" fontId="54" fillId="47" borderId="21" xfId="0" applyNumberFormat="1" applyFont="1" applyFill="1" applyBorder="1" applyAlignment="1">
      <alignment horizontal="center"/>
    </xf>
    <xf numFmtId="175" fontId="14" fillId="47" borderId="17" xfId="0" applyFont="1" applyFill="1" applyBorder="1" applyProtection="1">
      <protection locked="0"/>
    </xf>
    <xf numFmtId="175" fontId="14" fillId="47" borderId="13" xfId="0" applyFont="1" applyFill="1" applyBorder="1" applyProtection="1">
      <protection locked="0"/>
    </xf>
    <xf numFmtId="175" fontId="15" fillId="0" borderId="34" xfId="0" applyFont="1" applyBorder="1" applyAlignment="1">
      <alignment horizontal="center"/>
    </xf>
    <xf numFmtId="3" fontId="14" fillId="0" borderId="11" xfId="0" applyNumberFormat="1" applyFont="1" applyBorder="1" applyAlignment="1">
      <alignment horizontal="left" vertical="center" wrapText="1"/>
    </xf>
    <xf numFmtId="175" fontId="35" fillId="0" borderId="11" xfId="0" applyFont="1" applyBorder="1" applyAlignment="1" applyProtection="1">
      <alignment horizontal="left"/>
      <protection locked="0"/>
    </xf>
    <xf numFmtId="175" fontId="35" fillId="47" borderId="11" xfId="0" applyFont="1" applyFill="1" applyBorder="1" applyAlignment="1" applyProtection="1">
      <alignment horizontal="left"/>
      <protection locked="0"/>
    </xf>
    <xf numFmtId="44" fontId="67" fillId="0" borderId="0" xfId="50" applyFont="1"/>
    <xf numFmtId="0" fontId="74" fillId="0" borderId="0" xfId="520" applyFont="1"/>
    <xf numFmtId="0" fontId="74" fillId="0" borderId="27" xfId="520" applyFont="1" applyBorder="1" applyAlignment="1">
      <alignment horizontal="center" vertical="center"/>
    </xf>
    <xf numFmtId="0" fontId="75" fillId="0" borderId="14" xfId="520" applyFont="1" applyBorder="1" applyAlignment="1">
      <alignment horizontal="center" vertical="center" wrapText="1"/>
    </xf>
    <xf numFmtId="6" fontId="74" fillId="0" borderId="0" xfId="520" applyNumberFormat="1" applyFont="1"/>
    <xf numFmtId="6" fontId="74" fillId="0" borderId="14" xfId="520" applyNumberFormat="1" applyFont="1" applyBorder="1"/>
    <xf numFmtId="0" fontId="74" fillId="46" borderId="0" xfId="520" applyFont="1" applyFill="1"/>
    <xf numFmtId="0" fontId="77" fillId="0" borderId="0" xfId="520" applyFont="1"/>
    <xf numFmtId="6" fontId="75" fillId="0" borderId="0" xfId="520" applyNumberFormat="1" applyFont="1"/>
    <xf numFmtId="165" fontId="16" fillId="47" borderId="0" xfId="0" applyNumberFormat="1" applyFont="1" applyFill="1" applyProtection="1">
      <protection locked="0"/>
    </xf>
    <xf numFmtId="6" fontId="74" fillId="0" borderId="41" xfId="520" applyNumberFormat="1" applyFont="1" applyBorder="1"/>
    <xf numFmtId="6" fontId="74" fillId="0" borderId="16" xfId="520" applyNumberFormat="1" applyFont="1" applyBorder="1"/>
    <xf numFmtId="0" fontId="74" fillId="0" borderId="17" xfId="520" applyFont="1" applyBorder="1"/>
    <xf numFmtId="0" fontId="75" fillId="0" borderId="22" xfId="520" applyFont="1" applyBorder="1"/>
    <xf numFmtId="175" fontId="14" fillId="0" borderId="55" xfId="66" applyBorder="1" applyProtection="1">
      <protection locked="0"/>
    </xf>
    <xf numFmtId="175" fontId="14" fillId="0" borderId="56" xfId="66" applyBorder="1" applyProtection="1">
      <protection locked="0"/>
    </xf>
    <xf numFmtId="175" fontId="14" fillId="0" borderId="57" xfId="66" applyBorder="1" applyProtection="1">
      <protection locked="0"/>
    </xf>
    <xf numFmtId="175" fontId="16" fillId="0" borderId="20" xfId="0" applyFont="1" applyBorder="1" applyAlignment="1" applyProtection="1">
      <alignment horizontal="left"/>
      <protection locked="0"/>
    </xf>
    <xf numFmtId="175" fontId="35" fillId="0" borderId="15" xfId="0" applyFont="1" applyBorder="1" applyAlignment="1" applyProtection="1">
      <alignment horizontal="center" wrapText="1"/>
      <protection locked="0"/>
    </xf>
    <xf numFmtId="166" fontId="16" fillId="0" borderId="11" xfId="46" applyNumberFormat="1" applyFont="1" applyBorder="1" applyAlignment="1" applyProtection="1">
      <alignment horizontal="right"/>
      <protection locked="0"/>
    </xf>
    <xf numFmtId="175" fontId="15" fillId="0" borderId="58" xfId="66" applyFont="1" applyBorder="1" applyProtection="1">
      <protection locked="0"/>
    </xf>
    <xf numFmtId="175" fontId="15" fillId="0" borderId="34" xfId="66" applyFont="1" applyBorder="1" applyProtection="1">
      <protection locked="0"/>
    </xf>
    <xf numFmtId="175" fontId="17" fillId="0" borderId="17" xfId="66" applyFont="1" applyBorder="1" applyAlignment="1">
      <alignment wrapText="1"/>
    </xf>
    <xf numFmtId="175" fontId="14" fillId="0" borderId="17" xfId="66" applyBorder="1" applyAlignment="1">
      <alignment horizontal="left" indent="1"/>
    </xf>
    <xf numFmtId="175" fontId="14" fillId="47" borderId="17" xfId="66" applyFill="1" applyBorder="1" applyAlignment="1">
      <alignment horizontal="left" indent="1"/>
    </xf>
    <xf numFmtId="175" fontId="15" fillId="0" borderId="20" xfId="66" applyFont="1" applyBorder="1"/>
    <xf numFmtId="175" fontId="15" fillId="0" borderId="17" xfId="66" applyFont="1" applyBorder="1"/>
    <xf numFmtId="175" fontId="14" fillId="0" borderId="17" xfId="66" quotePrefix="1" applyBorder="1" applyAlignment="1">
      <alignment horizontal="left" indent="1"/>
    </xf>
    <xf numFmtId="175" fontId="15" fillId="0" borderId="20" xfId="66" applyFont="1" applyBorder="1" applyAlignment="1">
      <alignment wrapText="1"/>
    </xf>
    <xf numFmtId="175" fontId="15" fillId="0" borderId="22" xfId="66" applyFont="1" applyBorder="1" applyAlignment="1" applyProtection="1">
      <alignment wrapText="1"/>
      <protection locked="0"/>
    </xf>
    <xf numFmtId="0" fontId="76" fillId="49" borderId="18" xfId="520" applyFont="1" applyFill="1" applyBorder="1"/>
    <xf numFmtId="164" fontId="67" fillId="0" borderId="17" xfId="66" applyNumberFormat="1" applyFont="1" applyBorder="1"/>
    <xf numFmtId="175" fontId="66" fillId="47" borderId="40" xfId="66" applyFont="1" applyFill="1" applyBorder="1" applyAlignment="1">
      <alignment horizontal="center"/>
    </xf>
    <xf numFmtId="175" fontId="67" fillId="0" borderId="40" xfId="66" applyFont="1" applyBorder="1"/>
    <xf numFmtId="175" fontId="67" fillId="47" borderId="40" xfId="66" applyFont="1" applyFill="1" applyBorder="1"/>
    <xf numFmtId="164" fontId="66" fillId="43" borderId="14" xfId="66" applyNumberFormat="1" applyFont="1" applyFill="1" applyBorder="1"/>
    <xf numFmtId="175" fontId="14" fillId="47" borderId="13" xfId="66" applyFill="1" applyBorder="1" applyProtection="1">
      <protection locked="0"/>
    </xf>
    <xf numFmtId="6" fontId="74" fillId="0" borderId="13" xfId="520" applyNumberFormat="1" applyFont="1" applyBorder="1"/>
    <xf numFmtId="175" fontId="62" fillId="0" borderId="0" xfId="66" applyFont="1" applyProtection="1">
      <protection locked="0"/>
    </xf>
    <xf numFmtId="175" fontId="14" fillId="0" borderId="17" xfId="66" applyBorder="1"/>
    <xf numFmtId="175" fontId="14" fillId="47" borderId="17" xfId="0" applyFont="1" applyFill="1" applyBorder="1" applyAlignment="1">
      <alignment horizontal="left"/>
    </xf>
    <xf numFmtId="175" fontId="66" fillId="0" borderId="52" xfId="66" applyFont="1" applyBorder="1"/>
    <xf numFmtId="175" fontId="15" fillId="0" borderId="54" xfId="66" applyFont="1" applyBorder="1" applyAlignment="1">
      <alignment horizontal="center"/>
    </xf>
    <xf numFmtId="175" fontId="15" fillId="0" borderId="54" xfId="66" applyFont="1" applyBorder="1" applyAlignment="1">
      <alignment horizontal="left"/>
    </xf>
    <xf numFmtId="175" fontId="14" fillId="0" borderId="54" xfId="66" applyBorder="1"/>
    <xf numFmtId="175" fontId="15" fillId="0" borderId="54" xfId="66" applyFont="1" applyBorder="1"/>
    <xf numFmtId="175" fontId="15" fillId="0" borderId="54" xfId="66" applyFont="1" applyBorder="1" applyAlignment="1">
      <alignment horizontal="left" indent="1"/>
    </xf>
    <xf numFmtId="175" fontId="15" fillId="0" borderId="54" xfId="66" applyFont="1" applyBorder="1" applyAlignment="1">
      <alignment horizontal="center" wrapText="1"/>
    </xf>
    <xf numFmtId="175" fontId="15" fillId="0" borderId="61" xfId="66" applyFont="1" applyBorder="1" applyAlignment="1">
      <alignment wrapText="1"/>
    </xf>
    <xf numFmtId="175" fontId="63" fillId="0" borderId="0" xfId="66" applyFont="1" applyProtection="1">
      <protection locked="0"/>
    </xf>
    <xf numFmtId="43" fontId="14" fillId="50" borderId="27" xfId="46" quotePrefix="1" applyFill="1" applyBorder="1" applyAlignment="1">
      <alignment horizontal="left"/>
    </xf>
    <xf numFmtId="43" fontId="14" fillId="50" borderId="48" xfId="46" quotePrefix="1" applyFill="1" applyBorder="1" applyAlignment="1">
      <alignment horizontal="left"/>
    </xf>
    <xf numFmtId="43" fontId="14" fillId="50" borderId="0" xfId="46" quotePrefix="1" applyFill="1" applyAlignment="1">
      <alignment horizontal="left"/>
    </xf>
    <xf numFmtId="43" fontId="14" fillId="50" borderId="41" xfId="46" quotePrefix="1" applyFill="1" applyBorder="1" applyAlignment="1">
      <alignment horizontal="left"/>
    </xf>
    <xf numFmtId="43" fontId="14" fillId="50" borderId="14" xfId="46" quotePrefix="1" applyFill="1" applyBorder="1" applyAlignment="1">
      <alignment horizontal="left"/>
    </xf>
    <xf numFmtId="43" fontId="14" fillId="50" borderId="16" xfId="46" quotePrefix="1" applyFill="1" applyBorder="1" applyAlignment="1">
      <alignment horizontal="left"/>
    </xf>
    <xf numFmtId="43" fontId="14" fillId="50" borderId="0" xfId="46" quotePrefix="1" applyFill="1" applyAlignment="1">
      <alignment horizontal="center"/>
    </xf>
    <xf numFmtId="3" fontId="15" fillId="47" borderId="18" xfId="0" applyNumberFormat="1" applyFont="1" applyFill="1" applyBorder="1" applyAlignment="1">
      <alignment horizontal="center" wrapText="1"/>
    </xf>
    <xf numFmtId="175" fontId="15"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5" fillId="47" borderId="0" xfId="0" applyFont="1" applyFill="1" applyProtection="1">
      <protection locked="0"/>
    </xf>
    <xf numFmtId="43" fontId="14" fillId="0" borderId="0" xfId="46" applyProtection="1">
      <protection locked="0"/>
    </xf>
    <xf numFmtId="2" fontId="16" fillId="0" borderId="0" xfId="0" applyNumberFormat="1" applyFont="1" applyProtection="1">
      <protection locked="0"/>
    </xf>
    <xf numFmtId="175" fontId="15" fillId="47" borderId="0" xfId="782" applyFont="1" applyFill="1" applyAlignment="1">
      <alignment vertical="center"/>
    </xf>
    <xf numFmtId="0" fontId="16" fillId="0" borderId="11" xfId="67" applyNumberFormat="1" applyBorder="1" applyAlignment="1">
      <alignment horizontal="center" vertical="center" wrapText="1"/>
    </xf>
    <xf numFmtId="6" fontId="16" fillId="0" borderId="11" xfId="67" applyNumberFormat="1" applyBorder="1" applyAlignment="1">
      <alignment horizontal="center" vertical="center" wrapText="1"/>
    </xf>
    <xf numFmtId="175" fontId="16" fillId="0" borderId="11" xfId="67" applyBorder="1" applyAlignment="1">
      <alignment horizontal="left" vertical="center" wrapText="1"/>
    </xf>
    <xf numFmtId="14" fontId="16" fillId="0" borderId="11" xfId="67" applyNumberFormat="1" applyBorder="1" applyAlignment="1">
      <alignment horizontal="center" vertical="center" wrapText="1"/>
    </xf>
    <xf numFmtId="175" fontId="35" fillId="0" borderId="0" xfId="67" applyFont="1" applyAlignment="1">
      <alignment horizontal="center" vertical="center"/>
    </xf>
    <xf numFmtId="0" fontId="16" fillId="0" borderId="11" xfId="67" applyNumberFormat="1" applyBorder="1" applyAlignment="1" applyProtection="1">
      <alignment horizontal="center" vertical="center"/>
      <protection locked="0"/>
    </xf>
    <xf numFmtId="6" fontId="16" fillId="0" borderId="11" xfId="67" applyNumberFormat="1" applyBorder="1" applyAlignment="1" applyProtection="1">
      <alignment horizontal="center" vertical="center"/>
      <protection locked="0"/>
    </xf>
    <xf numFmtId="175" fontId="16" fillId="0" borderId="0" xfId="67" applyAlignment="1" applyProtection="1">
      <alignment vertical="center"/>
      <protection locked="0"/>
    </xf>
    <xf numFmtId="175" fontId="16" fillId="0" borderId="11" xfId="67" applyBorder="1" applyAlignment="1">
      <alignment horizontal="center" vertical="center" wrapText="1"/>
    </xf>
    <xf numFmtId="175" fontId="16" fillId="0" borderId="11" xfId="67" applyBorder="1" applyAlignment="1" applyProtection="1">
      <alignment horizontal="center" vertical="center" wrapText="1"/>
      <protection locked="0"/>
    </xf>
    <xf numFmtId="175" fontId="16" fillId="0" borderId="0" xfId="0" applyFont="1" applyAlignment="1">
      <alignment horizontal="center"/>
    </xf>
    <xf numFmtId="172" fontId="14" fillId="0" borderId="0" xfId="0" applyNumberFormat="1" applyFont="1"/>
    <xf numFmtId="175" fontId="40" fillId="0" borderId="0" xfId="0" applyFont="1"/>
    <xf numFmtId="3" fontId="40" fillId="0" borderId="0" xfId="0" applyNumberFormat="1" applyFont="1"/>
    <xf numFmtId="175" fontId="16" fillId="47" borderId="0" xfId="0" applyFont="1" applyFill="1" applyAlignment="1">
      <alignment horizontal="center"/>
    </xf>
    <xf numFmtId="0" fontId="14" fillId="0" borderId="0" xfId="66" applyNumberFormat="1"/>
    <xf numFmtId="175" fontId="14" fillId="47" borderId="0" xfId="66" applyFont="1" applyFill="1" applyAlignment="1" applyProtection="1">
      <alignment horizontal="center"/>
      <protection locked="0"/>
    </xf>
    <xf numFmtId="175" fontId="14" fillId="47" borderId="0" xfId="66" applyFont="1" applyFill="1" applyProtection="1">
      <protection locked="0"/>
    </xf>
    <xf numFmtId="171" fontId="14" fillId="47" borderId="0" xfId="66" applyNumberFormat="1" applyFont="1" applyFill="1" applyAlignment="1" applyProtection="1">
      <alignment horizontal="center"/>
      <protection locked="0"/>
    </xf>
    <xf numFmtId="175" fontId="14" fillId="0" borderId="0" xfId="66" applyBorder="1"/>
    <xf numFmtId="175" fontId="15" fillId="44" borderId="53" xfId="66" applyFont="1" applyFill="1" applyBorder="1" applyAlignment="1">
      <alignment horizontal="center"/>
    </xf>
    <xf numFmtId="175" fontId="15" fillId="0" borderId="53" xfId="0" applyFont="1" applyBorder="1" applyAlignment="1">
      <alignment wrapText="1"/>
    </xf>
    <xf numFmtId="175" fontId="15" fillId="0" borderId="60" xfId="66" applyFont="1" applyBorder="1" applyAlignment="1">
      <alignment horizontal="left"/>
    </xf>
    <xf numFmtId="175" fontId="15" fillId="0" borderId="20" xfId="66" applyFont="1" applyBorder="1" applyAlignment="1" applyProtection="1">
      <alignment horizontal="center"/>
      <protection locked="0"/>
    </xf>
    <xf numFmtId="6" fontId="74" fillId="0" borderId="0" xfId="520" applyNumberFormat="1" applyFont="1" applyBorder="1"/>
    <xf numFmtId="0" fontId="74" fillId="0" borderId="0" xfId="520" applyFont="1" applyBorder="1"/>
    <xf numFmtId="164" fontId="67" fillId="0" borderId="0" xfId="66" applyNumberFormat="1" applyFont="1" applyBorder="1"/>
    <xf numFmtId="0" fontId="75" fillId="0" borderId="21" xfId="520" applyFont="1" applyBorder="1"/>
    <xf numFmtId="164" fontId="67" fillId="0" borderId="22" xfId="66" applyNumberFormat="1" applyFont="1" applyBorder="1"/>
    <xf numFmtId="164" fontId="67" fillId="0" borderId="27" xfId="66" applyNumberFormat="1" applyFont="1" applyBorder="1"/>
    <xf numFmtId="164" fontId="67" fillId="0" borderId="21" xfId="66" applyNumberFormat="1" applyFont="1" applyBorder="1"/>
    <xf numFmtId="164" fontId="67"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5" fillId="0" borderId="20" xfId="66" applyFont="1" applyBorder="1" applyAlignment="1" applyProtection="1">
      <alignment horizontal="right"/>
      <protection locked="0"/>
    </xf>
    <xf numFmtId="6" fontId="14" fillId="0" borderId="22" xfId="66" applyNumberFormat="1" applyBorder="1" applyAlignment="1">
      <alignment horizontal="right"/>
    </xf>
    <xf numFmtId="0" fontId="15" fillId="0" borderId="0" xfId="522" applyFont="1" applyAlignment="1" applyProtection="1">
      <alignment horizontal="center"/>
      <protection locked="0"/>
    </xf>
    <xf numFmtId="17" fontId="15" fillId="47" borderId="0" xfId="522" quotePrefix="1" applyNumberFormat="1" applyFont="1" applyFill="1" applyAlignment="1" applyProtection="1">
      <alignment horizontal="center"/>
      <protection locked="0"/>
    </xf>
    <xf numFmtId="0" fontId="55" fillId="49" borderId="18" xfId="520" applyFont="1" applyFill="1" applyBorder="1"/>
    <xf numFmtId="0" fontId="15" fillId="0" borderId="18" xfId="520" applyFont="1" applyBorder="1" applyAlignment="1">
      <alignment horizontal="center"/>
    </xf>
    <xf numFmtId="0" fontId="15" fillId="0" borderId="14" xfId="520" applyFont="1" applyBorder="1" applyAlignment="1">
      <alignment horizontal="center"/>
    </xf>
    <xf numFmtId="0" fontId="15" fillId="0" borderId="21" xfId="520" applyFont="1" applyBorder="1" applyAlignment="1">
      <alignment wrapText="1"/>
    </xf>
    <xf numFmtId="0" fontId="14" fillId="0" borderId="17" xfId="520" applyFont="1" applyBorder="1" applyAlignment="1">
      <alignment horizontal="left" indent="2"/>
    </xf>
    <xf numFmtId="0" fontId="14" fillId="0" borderId="17" xfId="520" applyFont="1" applyBorder="1" applyAlignment="1">
      <alignment horizontal="left" wrapText="1" indent="2"/>
    </xf>
    <xf numFmtId="0" fontId="14" fillId="47" borderId="17" xfId="520" applyFont="1" applyFill="1" applyBorder="1" applyAlignment="1">
      <alignment horizontal="left" wrapText="1" indent="2"/>
    </xf>
    <xf numFmtId="0" fontId="86" fillId="0" borderId="17" xfId="520" applyFont="1" applyBorder="1"/>
    <xf numFmtId="0" fontId="55" fillId="49" borderId="20" xfId="520" applyFont="1" applyFill="1" applyBorder="1"/>
    <xf numFmtId="0" fontId="55" fillId="0" borderId="21" xfId="520" applyFont="1" applyBorder="1"/>
    <xf numFmtId="3" fontId="46" fillId="0" borderId="17" xfId="0" applyNumberFormat="1" applyFont="1" applyFill="1" applyBorder="1" applyAlignment="1" applyProtection="1">
      <alignment horizontal="center"/>
      <protection locked="0"/>
    </xf>
    <xf numFmtId="175" fontId="15" fillId="47" borderId="0" xfId="0" applyFont="1" applyFill="1" applyAlignment="1" applyProtection="1">
      <alignment wrapText="1"/>
      <protection locked="0"/>
    </xf>
    <xf numFmtId="175" fontId="15" fillId="0" borderId="11" xfId="0" applyFont="1" applyBorder="1" applyAlignment="1">
      <alignment horizontal="center"/>
    </xf>
    <xf numFmtId="175" fontId="0" fillId="0" borderId="48" xfId="0" applyBorder="1"/>
    <xf numFmtId="2" fontId="40" fillId="0" borderId="0" xfId="0" applyNumberFormat="1" applyFont="1" applyProtection="1">
      <protection locked="0"/>
    </xf>
    <xf numFmtId="175" fontId="14" fillId="0" borderId="0" xfId="0" applyFont="1" applyFill="1" applyBorder="1"/>
    <xf numFmtId="175" fontId="14" fillId="0" borderId="0" xfId="0" applyFont="1" applyFill="1" applyBorder="1" applyProtection="1">
      <protection locked="0"/>
    </xf>
    <xf numFmtId="2" fontId="14" fillId="0" borderId="0" xfId="0" applyNumberFormat="1" applyFont="1" applyFill="1" applyBorder="1" applyProtection="1">
      <protection locked="0"/>
    </xf>
    <xf numFmtId="1" fontId="14" fillId="0" borderId="0" xfId="0" applyNumberFormat="1" applyFont="1" applyFill="1" applyBorder="1" applyProtection="1">
      <protection locked="0"/>
    </xf>
    <xf numFmtId="1" fontId="14" fillId="0" borderId="67" xfId="0" applyNumberFormat="1" applyFont="1" applyFill="1" applyBorder="1" applyProtection="1">
      <protection locked="0"/>
    </xf>
    <xf numFmtId="175" fontId="14" fillId="0" borderId="0" xfId="0" applyFont="1" applyAlignment="1" applyProtection="1">
      <alignment vertical="top"/>
      <protection locked="0"/>
    </xf>
    <xf numFmtId="175" fontId="14"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66"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7" fillId="0" borderId="67" xfId="0" applyNumberFormat="1" applyFont="1" applyFill="1" applyBorder="1"/>
    <xf numFmtId="175" fontId="57" fillId="0" borderId="68" xfId="0" applyFont="1" applyFill="1" applyBorder="1"/>
    <xf numFmtId="175" fontId="57" fillId="0" borderId="68" xfId="0" applyFont="1" applyFill="1" applyBorder="1" applyProtection="1">
      <protection locked="0"/>
    </xf>
    <xf numFmtId="176" fontId="14" fillId="0" borderId="0" xfId="0" applyNumberFormat="1" applyFont="1" applyFill="1" applyBorder="1" applyProtection="1">
      <protection locked="0"/>
    </xf>
    <xf numFmtId="0" fontId="14" fillId="0" borderId="0" xfId="0" applyNumberFormat="1" applyFont="1" applyFill="1" applyAlignment="1" applyProtection="1">
      <alignment vertical="top"/>
      <protection locked="0"/>
    </xf>
    <xf numFmtId="0" fontId="2" fillId="0" borderId="0" xfId="888"/>
    <xf numFmtId="0" fontId="15" fillId="0" borderId="14" xfId="520" quotePrefix="1" applyNumberFormat="1" applyFont="1" applyBorder="1" applyAlignment="1">
      <alignment horizontal="center"/>
    </xf>
    <xf numFmtId="1" fontId="14" fillId="0" borderId="0" xfId="0" applyNumberFormat="1" applyFont="1" applyProtection="1">
      <protection locked="0"/>
    </xf>
    <xf numFmtId="175" fontId="67" fillId="47" borderId="40" xfId="0" applyFont="1" applyFill="1" applyBorder="1"/>
    <xf numFmtId="175" fontId="67" fillId="0" borderId="0" xfId="0" applyFont="1" applyFill="1" applyBorder="1" applyAlignment="1">
      <alignment horizontal="left"/>
    </xf>
    <xf numFmtId="164" fontId="66" fillId="43" borderId="21" xfId="66" applyNumberFormat="1" applyFont="1" applyFill="1" applyBorder="1" applyAlignment="1">
      <alignment horizontal="right"/>
    </xf>
    <xf numFmtId="164" fontId="66" fillId="43" borderId="14" xfId="66" applyNumberFormat="1" applyFont="1" applyFill="1" applyBorder="1" applyAlignment="1">
      <alignment horizontal="right"/>
    </xf>
    <xf numFmtId="175" fontId="66" fillId="0" borderId="70" xfId="66" applyFont="1" applyBorder="1" applyAlignment="1">
      <alignment horizontal="left" wrapText="1" indent="1"/>
    </xf>
    <xf numFmtId="175" fontId="44" fillId="0" borderId="0" xfId="66" applyFont="1" applyFill="1"/>
    <xf numFmtId="3" fontId="14" fillId="47" borderId="41" xfId="0" applyNumberFormat="1" applyFont="1" applyFill="1" applyBorder="1" applyAlignment="1" applyProtection="1">
      <alignment wrapText="1"/>
      <protection locked="0"/>
    </xf>
    <xf numFmtId="165" fontId="14" fillId="47" borderId="0" xfId="0" applyNumberFormat="1" applyFont="1" applyFill="1" applyProtection="1">
      <protection locked="0"/>
    </xf>
    <xf numFmtId="172" fontId="16" fillId="47" borderId="11" xfId="46" applyNumberFormat="1" applyFont="1" applyFill="1" applyBorder="1" applyAlignment="1">
      <alignment horizontal="right"/>
    </xf>
    <xf numFmtId="3" fontId="14" fillId="0" borderId="71" xfId="0" applyNumberFormat="1" applyFont="1" applyBorder="1" applyAlignment="1">
      <alignment horizontal="left" vertical="center" wrapText="1"/>
    </xf>
    <xf numFmtId="175" fontId="0" fillId="0" borderId="0" xfId="0" applyBorder="1"/>
    <xf numFmtId="175" fontId="69" fillId="0" borderId="0" xfId="66" applyFont="1" applyAlignment="1">
      <alignment wrapText="1"/>
    </xf>
    <xf numFmtId="164" fontId="15" fillId="0" borderId="0" xfId="66" applyNumberFormat="1" applyFont="1" applyBorder="1"/>
    <xf numFmtId="175" fontId="69" fillId="0" borderId="0" xfId="66" applyFont="1" applyBorder="1" applyAlignment="1">
      <alignment wrapText="1"/>
    </xf>
    <xf numFmtId="3" fontId="14" fillId="0" borderId="0" xfId="0" applyNumberFormat="1" applyFont="1" applyBorder="1" applyAlignment="1">
      <alignment horizontal="left" vertical="center" wrapText="1"/>
    </xf>
    <xf numFmtId="175" fontId="35" fillId="0" borderId="13" xfId="0" applyFont="1" applyBorder="1" applyAlignment="1">
      <alignment horizontal="center" wrapText="1"/>
    </xf>
    <xf numFmtId="175" fontId="35" fillId="0" borderId="15" xfId="0" applyFont="1" applyBorder="1" applyAlignment="1">
      <alignment horizontal="center" wrapText="1"/>
    </xf>
    <xf numFmtId="175" fontId="15" fillId="0" borderId="11" xfId="0" quotePrefix="1" applyFont="1" applyBorder="1" applyAlignment="1">
      <alignment horizontal="center"/>
    </xf>
    <xf numFmtId="175" fontId="14" fillId="0" borderId="11" xfId="0" applyFont="1" applyBorder="1" applyAlignment="1">
      <alignment vertical="center"/>
    </xf>
    <xf numFmtId="2" fontId="14" fillId="0" borderId="19" xfId="0" applyNumberFormat="1" applyFont="1" applyBorder="1" applyAlignment="1">
      <alignment vertical="center"/>
    </xf>
    <xf numFmtId="3" fontId="14" fillId="52" borderId="19" xfId="0" applyNumberFormat="1" applyFont="1" applyFill="1" applyBorder="1" applyAlignment="1">
      <alignment horizontal="center" vertical="center"/>
    </xf>
    <xf numFmtId="175" fontId="14" fillId="0" borderId="34" xfId="0" applyFont="1" applyBorder="1" applyAlignment="1">
      <alignment vertical="center"/>
    </xf>
    <xf numFmtId="2" fontId="14" fillId="0" borderId="16" xfId="0" applyNumberFormat="1" applyFont="1" applyBorder="1" applyAlignment="1">
      <alignment vertical="center"/>
    </xf>
    <xf numFmtId="3" fontId="14" fillId="52" borderId="16" xfId="0" applyNumberFormat="1" applyFont="1" applyFill="1" applyBorder="1" applyAlignment="1">
      <alignment horizontal="center" vertical="center"/>
    </xf>
    <xf numFmtId="3" fontId="14" fillId="0" borderId="16" xfId="0" applyNumberFormat="1" applyFont="1" applyBorder="1" applyAlignment="1">
      <alignment horizontal="center" vertical="center"/>
    </xf>
    <xf numFmtId="2" fontId="14" fillId="52" borderId="16" xfId="0" applyNumberFormat="1" applyFont="1" applyFill="1" applyBorder="1" applyAlignment="1">
      <alignment vertical="center"/>
    </xf>
    <xf numFmtId="3" fontId="14" fillId="0" borderId="19" xfId="0" applyNumberFormat="1" applyFont="1" applyBorder="1" applyAlignment="1">
      <alignment horizontal="center" vertical="center"/>
    </xf>
    <xf numFmtId="2" fontId="14" fillId="0" borderId="41" xfId="0" applyNumberFormat="1" applyFont="1" applyBorder="1" applyAlignment="1">
      <alignment vertical="center"/>
    </xf>
    <xf numFmtId="175" fontId="14" fillId="0" borderId="0" xfId="0" applyFont="1" applyBorder="1" applyAlignment="1"/>
    <xf numFmtId="175" fontId="16" fillId="47" borderId="11" xfId="0" applyFont="1" applyFill="1" applyBorder="1" applyAlignment="1" applyProtection="1">
      <alignment horizontal="left"/>
      <protection locked="0"/>
    </xf>
    <xf numFmtId="175" fontId="66" fillId="43" borderId="0" xfId="66" applyFont="1" applyFill="1" applyBorder="1" applyAlignment="1">
      <alignment horizontal="center"/>
    </xf>
    <xf numFmtId="175" fontId="70" fillId="0" borderId="0" xfId="67" applyFont="1" applyProtection="1">
      <protection locked="0"/>
    </xf>
    <xf numFmtId="175" fontId="70" fillId="0" borderId="0" xfId="67" quotePrefix="1" applyFont="1" applyProtection="1">
      <protection locked="0"/>
    </xf>
    <xf numFmtId="175" fontId="71" fillId="0" borderId="0" xfId="0" applyFont="1" applyAlignment="1">
      <alignment vertical="center"/>
    </xf>
    <xf numFmtId="175" fontId="69" fillId="47" borderId="0" xfId="782" applyFont="1" applyFill="1" applyAlignment="1">
      <alignment vertical="center"/>
    </xf>
    <xf numFmtId="175" fontId="62" fillId="0" borderId="0" xfId="66" applyFont="1"/>
    <xf numFmtId="175" fontId="62" fillId="0" borderId="0" xfId="0" applyFont="1" applyAlignment="1">
      <alignment vertical="center"/>
    </xf>
    <xf numFmtId="0" fontId="71" fillId="0" borderId="0" xfId="520" applyFont="1"/>
    <xf numFmtId="175" fontId="14" fillId="0" borderId="0" xfId="66" applyBorder="1" applyAlignment="1">
      <alignment horizontal="center"/>
    </xf>
    <xf numFmtId="164" fontId="14" fillId="0" borderId="0" xfId="66" applyNumberFormat="1" applyBorder="1" applyAlignment="1">
      <alignment horizontal="right"/>
    </xf>
    <xf numFmtId="164" fontId="14" fillId="0" borderId="18" xfId="66" applyNumberFormat="1" applyBorder="1" applyAlignment="1">
      <alignment horizontal="right"/>
    </xf>
    <xf numFmtId="164" fontId="14" fillId="0" borderId="27" xfId="66" applyNumberFormat="1" applyBorder="1" applyAlignment="1">
      <alignment horizontal="right"/>
    </xf>
    <xf numFmtId="164" fontId="14" fillId="44" borderId="18" xfId="66" applyNumberFormat="1" applyFill="1" applyBorder="1" applyAlignment="1">
      <alignment horizontal="right"/>
    </xf>
    <xf numFmtId="164" fontId="15" fillId="0" borderId="46" xfId="66" applyNumberFormat="1" applyFont="1" applyBorder="1" applyAlignment="1">
      <alignment horizontal="right"/>
    </xf>
    <xf numFmtId="175" fontId="66" fillId="43" borderId="0" xfId="66" applyFont="1" applyFill="1" applyAlignment="1"/>
    <xf numFmtId="164" fontId="66" fillId="43" borderId="14" xfId="66" applyNumberFormat="1" applyFont="1" applyFill="1" applyBorder="1" applyAlignment="1"/>
    <xf numFmtId="164" fontId="67" fillId="0" borderId="0" xfId="66" applyNumberFormat="1" applyFont="1" applyAlignment="1"/>
    <xf numFmtId="164" fontId="66" fillId="43" borderId="42" xfId="66" applyNumberFormat="1" applyFont="1" applyFill="1" applyBorder="1" applyAlignment="1"/>
    <xf numFmtId="175" fontId="66" fillId="43" borderId="18" xfId="66" applyFont="1" applyFill="1" applyBorder="1" applyAlignment="1">
      <alignment horizontal="right"/>
    </xf>
    <xf numFmtId="44" fontId="66" fillId="43" borderId="18" xfId="50" applyFont="1" applyFill="1" applyBorder="1" applyAlignment="1">
      <alignment horizontal="right"/>
    </xf>
    <xf numFmtId="175" fontId="14" fillId="0" borderId="0" xfId="0" applyFont="1" applyBorder="1" applyAlignment="1">
      <alignment vertical="center"/>
    </xf>
    <xf numFmtId="2" fontId="14" fillId="0" borderId="0" xfId="0" applyNumberFormat="1" applyFont="1" applyBorder="1" applyAlignment="1">
      <alignment vertical="center"/>
    </xf>
    <xf numFmtId="3" fontId="14" fillId="0" borderId="0" xfId="0" applyNumberFormat="1" applyFont="1" applyBorder="1" applyAlignment="1">
      <alignment horizontal="center" vertical="center"/>
    </xf>
    <xf numFmtId="3" fontId="14" fillId="52" borderId="0" xfId="0" applyNumberFormat="1" applyFont="1" applyFill="1" applyBorder="1" applyAlignment="1">
      <alignment horizontal="center" vertical="center"/>
    </xf>
    <xf numFmtId="175" fontId="62" fillId="43" borderId="0" xfId="66" applyFont="1" applyFill="1"/>
    <xf numFmtId="44" fontId="62" fillId="43" borderId="0" xfId="50" applyFont="1" applyFill="1"/>
    <xf numFmtId="44" fontId="67" fillId="47" borderId="0" xfId="50" applyFont="1" applyFill="1"/>
    <xf numFmtId="175" fontId="57" fillId="0" borderId="11" xfId="0" applyFont="1" applyBorder="1" applyAlignment="1">
      <alignment horizontal="right"/>
    </xf>
    <xf numFmtId="14" fontId="57" fillId="0" borderId="11" xfId="0" applyNumberFormat="1" applyFont="1" applyBorder="1" applyAlignment="1">
      <alignment horizontal="right"/>
    </xf>
    <xf numFmtId="175" fontId="15" fillId="0" borderId="72" xfId="66" applyFont="1" applyBorder="1" applyAlignment="1">
      <alignment horizontal="center" wrapText="1"/>
    </xf>
    <xf numFmtId="175" fontId="14" fillId="0" borderId="59" xfId="66" applyBorder="1"/>
    <xf numFmtId="164" fontId="14" fillId="44" borderId="39" xfId="66" applyNumberFormat="1" applyFill="1" applyBorder="1" applyAlignment="1">
      <alignment horizontal="right"/>
    </xf>
    <xf numFmtId="175" fontId="67" fillId="43" borderId="53" xfId="66" applyFont="1" applyFill="1" applyBorder="1"/>
    <xf numFmtId="175" fontId="66" fillId="43" borderId="54" xfId="66" applyFont="1" applyFill="1" applyBorder="1" applyAlignment="1">
      <alignment horizontal="center" wrapText="1"/>
    </xf>
    <xf numFmtId="175" fontId="66" fillId="0" borderId="54" xfId="66" applyFont="1" applyBorder="1" applyAlignment="1">
      <alignment horizontal="center" wrapText="1"/>
    </xf>
    <xf numFmtId="164" fontId="67" fillId="0" borderId="54" xfId="66" applyNumberFormat="1" applyFont="1" applyBorder="1"/>
    <xf numFmtId="164" fontId="67" fillId="47" borderId="54" xfId="66" applyNumberFormat="1" applyFont="1" applyFill="1" applyBorder="1"/>
    <xf numFmtId="164" fontId="66" fillId="43" borderId="60" xfId="66" applyNumberFormat="1" applyFont="1" applyFill="1" applyBorder="1"/>
    <xf numFmtId="44" fontId="66" fillId="43" borderId="14" xfId="50" applyFont="1" applyFill="1" applyBorder="1"/>
    <xf numFmtId="164" fontId="66" fillId="43" borderId="61" xfId="66" applyNumberFormat="1" applyFont="1" applyFill="1" applyBorder="1"/>
    <xf numFmtId="175" fontId="62" fillId="0" borderId="0" xfId="0" quotePrefix="1" applyFont="1" applyBorder="1" applyAlignment="1"/>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42" fontId="14" fillId="0" borderId="0" xfId="520" applyNumberFormat="1" applyFont="1" applyBorder="1"/>
    <xf numFmtId="42" fontId="14" fillId="0" borderId="41" xfId="520" applyNumberFormat="1" applyBorder="1"/>
    <xf numFmtId="42" fontId="14" fillId="0" borderId="0" xfId="520" applyNumberFormat="1" applyFont="1"/>
    <xf numFmtId="42" fontId="14" fillId="0" borderId="41" xfId="520" applyNumberFormat="1" applyFont="1" applyBorder="1"/>
    <xf numFmtId="42" fontId="14" fillId="49" borderId="18" xfId="520" applyNumberFormat="1" applyFont="1" applyFill="1" applyBorder="1"/>
    <xf numFmtId="42" fontId="14" fillId="49" borderId="19" xfId="520" applyNumberFormat="1" applyFont="1" applyFill="1" applyBorder="1"/>
    <xf numFmtId="42" fontId="74" fillId="49" borderId="18" xfId="520" applyNumberFormat="1" applyFont="1" applyFill="1" applyBorder="1"/>
    <xf numFmtId="42" fontId="74" fillId="0" borderId="17" xfId="520" applyNumberFormat="1" applyFont="1" applyBorder="1"/>
    <xf numFmtId="42" fontId="74" fillId="0" borderId="0" xfId="520" applyNumberFormat="1" applyFont="1"/>
    <xf numFmtId="42" fontId="74" fillId="0" borderId="41" xfId="520" applyNumberFormat="1" applyFont="1" applyBorder="1"/>
    <xf numFmtId="42" fontId="74" fillId="0" borderId="0" xfId="520" applyNumberFormat="1" applyFont="1" applyBorder="1"/>
    <xf numFmtId="42" fontId="74" fillId="0" borderId="14" xfId="520" applyNumberFormat="1" applyFont="1" applyBorder="1"/>
    <xf numFmtId="42" fontId="74" fillId="0" borderId="16" xfId="520" applyNumberFormat="1" applyFont="1" applyBorder="1"/>
    <xf numFmtId="42" fontId="14" fillId="0" borderId="22" xfId="520" applyNumberFormat="1" applyFont="1" applyBorder="1"/>
    <xf numFmtId="42" fontId="14" fillId="0" borderId="48" xfId="520" applyNumberFormat="1" applyBorder="1"/>
    <xf numFmtId="42" fontId="14" fillId="0" borderId="17" xfId="520" applyNumberFormat="1" applyFont="1" applyBorder="1"/>
    <xf numFmtId="42" fontId="14" fillId="0" borderId="21" xfId="520" applyNumberFormat="1" applyFont="1" applyBorder="1"/>
    <xf numFmtId="42" fontId="14" fillId="0" borderId="16" xfId="520" applyNumberFormat="1" applyBorder="1"/>
    <xf numFmtId="42" fontId="14" fillId="49" borderId="21" xfId="520" applyNumberFormat="1" applyFont="1" applyFill="1" applyBorder="1"/>
    <xf numFmtId="42" fontId="14" fillId="49" borderId="14" xfId="520" applyNumberFormat="1" applyFont="1" applyFill="1" applyBorder="1"/>
    <xf numFmtId="42" fontId="74" fillId="49" borderId="19" xfId="520" applyNumberFormat="1" applyFont="1" applyFill="1" applyBorder="1"/>
    <xf numFmtId="42" fontId="74" fillId="0" borderId="22" xfId="520" applyNumberFormat="1" applyFont="1" applyBorder="1"/>
    <xf numFmtId="42" fontId="74" fillId="0" borderId="27" xfId="520" applyNumberFormat="1" applyFont="1" applyBorder="1"/>
    <xf numFmtId="42" fontId="74" fillId="45" borderId="0" xfId="520" applyNumberFormat="1" applyFont="1" applyFill="1"/>
    <xf numFmtId="42" fontId="74" fillId="0" borderId="48" xfId="520" applyNumberFormat="1" applyFont="1" applyBorder="1"/>
    <xf numFmtId="42" fontId="14" fillId="0" borderId="13" xfId="520" applyNumberFormat="1" applyBorder="1"/>
    <xf numFmtId="42" fontId="14" fillId="0" borderId="17" xfId="66" applyNumberFormat="1" applyBorder="1" applyAlignment="1">
      <alignment horizontal="right"/>
    </xf>
    <xf numFmtId="42" fontId="14" fillId="0" borderId="0" xfId="66" applyNumberFormat="1"/>
    <xf numFmtId="42" fontId="14" fillId="47" borderId="13" xfId="66" applyNumberFormat="1" applyFill="1" applyBorder="1" applyAlignment="1">
      <alignment horizontal="right"/>
    </xf>
    <xf numFmtId="42" fontId="14" fillId="0" borderId="13" xfId="66" applyNumberFormat="1" applyBorder="1" applyAlignment="1">
      <alignment horizontal="right"/>
    </xf>
    <xf numFmtId="42" fontId="14" fillId="0" borderId="21" xfId="66" applyNumberFormat="1" applyBorder="1" applyAlignment="1">
      <alignment horizontal="right"/>
    </xf>
    <xf numFmtId="42" fontId="14" fillId="0" borderId="14" xfId="66" applyNumberFormat="1" applyBorder="1" applyAlignment="1">
      <alignment horizontal="right"/>
    </xf>
    <xf numFmtId="42" fontId="14" fillId="0" borderId="21" xfId="66" applyNumberFormat="1" applyBorder="1"/>
    <xf numFmtId="42" fontId="14" fillId="0" borderId="14" xfId="66" applyNumberFormat="1" applyBorder="1"/>
    <xf numFmtId="42" fontId="14" fillId="0" borderId="18" xfId="66" applyNumberFormat="1" applyBorder="1"/>
    <xf numFmtId="42" fontId="14" fillId="47" borderId="11" xfId="66" applyNumberFormat="1" applyFill="1" applyBorder="1"/>
    <xf numFmtId="42" fontId="14" fillId="0" borderId="11" xfId="66" applyNumberFormat="1" applyBorder="1"/>
    <xf numFmtId="42" fontId="14" fillId="0" borderId="0" xfId="66" applyNumberFormat="1" applyProtection="1">
      <protection locked="0"/>
    </xf>
    <xf numFmtId="42" fontId="14" fillId="0" borderId="0" xfId="66" applyNumberFormat="1" applyAlignment="1">
      <alignment horizontal="right"/>
    </xf>
    <xf numFmtId="42" fontId="14" fillId="0" borderId="13" xfId="66" applyNumberFormat="1" applyBorder="1"/>
    <xf numFmtId="42" fontId="14" fillId="47" borderId="13" xfId="66" applyNumberFormat="1" applyFill="1" applyBorder="1"/>
    <xf numFmtId="42" fontId="14" fillId="0" borderId="20" xfId="66" applyNumberFormat="1" applyBorder="1" applyAlignment="1">
      <alignment horizontal="right"/>
    </xf>
    <xf numFmtId="42" fontId="14" fillId="0" borderId="18" xfId="66" applyNumberFormat="1" applyBorder="1" applyAlignment="1">
      <alignment horizontal="right"/>
    </xf>
    <xf numFmtId="42" fontId="14" fillId="0" borderId="22" xfId="66" applyNumberFormat="1" applyBorder="1" applyAlignment="1">
      <alignment horizontal="right"/>
    </xf>
    <xf numFmtId="42" fontId="14" fillId="0" borderId="14" xfId="66" applyNumberFormat="1" applyBorder="1" applyProtection="1">
      <protection locked="0"/>
    </xf>
    <xf numFmtId="42" fontId="14" fillId="0" borderId="20" xfId="66" applyNumberFormat="1" applyFill="1" applyBorder="1" applyAlignment="1">
      <alignment horizontal="right"/>
    </xf>
    <xf numFmtId="42" fontId="14" fillId="47" borderId="15" xfId="66" applyNumberFormat="1" applyFill="1" applyBorder="1"/>
    <xf numFmtId="42" fontId="14" fillId="47" borderId="13" xfId="66" applyNumberFormat="1" applyFill="1" applyBorder="1" applyProtection="1">
      <protection locked="0"/>
    </xf>
    <xf numFmtId="42" fontId="14" fillId="0" borderId="13" xfId="66" applyNumberFormat="1" applyBorder="1" applyProtection="1">
      <protection locked="0"/>
    </xf>
    <xf numFmtId="42" fontId="14" fillId="0" borderId="34" xfId="66" applyNumberFormat="1" applyBorder="1" applyProtection="1">
      <protection locked="0"/>
    </xf>
    <xf numFmtId="42" fontId="14" fillId="0" borderId="17" xfId="66" applyNumberFormat="1" applyBorder="1" applyAlignment="1" applyProtection="1">
      <alignment horizontal="center"/>
      <protection locked="0"/>
    </xf>
    <xf numFmtId="42" fontId="14"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5" fillId="47" borderId="11" xfId="66" applyFont="1" applyFill="1" applyBorder="1" applyAlignment="1">
      <alignment horizontal="center"/>
    </xf>
    <xf numFmtId="171" fontId="15" fillId="47" borderId="11" xfId="66" applyNumberFormat="1" applyFont="1" applyFill="1" applyBorder="1" applyAlignment="1">
      <alignment horizontal="center"/>
    </xf>
    <xf numFmtId="175" fontId="15"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1" fontId="0" fillId="47" borderId="0" xfId="66" applyNumberFormat="1" applyFont="1" applyFill="1" applyAlignment="1" applyProtection="1">
      <alignment horizontal="center"/>
      <protection locked="0"/>
    </xf>
    <xf numFmtId="14" fontId="57" fillId="0" borderId="0" xfId="0" applyNumberFormat="1" applyFont="1" applyAlignment="1">
      <alignment horizontal="right"/>
    </xf>
    <xf numFmtId="2" fontId="0" fillId="47" borderId="0" xfId="66" applyNumberFormat="1" applyFont="1" applyFill="1" applyProtection="1">
      <protection locked="0"/>
    </xf>
    <xf numFmtId="175" fontId="57"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5" fillId="47" borderId="0" xfId="66" applyFont="1" applyFill="1" applyAlignment="1" applyProtection="1">
      <alignment horizontal="left"/>
      <protection locked="0"/>
    </xf>
    <xf numFmtId="175" fontId="69" fillId="47" borderId="0" xfId="66" applyFont="1" applyFill="1" applyAlignment="1" applyProtection="1">
      <alignment horizontal="left"/>
      <protection locked="0"/>
    </xf>
    <xf numFmtId="0" fontId="4" fillId="0" borderId="0" xfId="597"/>
    <xf numFmtId="43" fontId="0" fillId="50" borderId="0" xfId="46" applyFont="1" applyFill="1" applyAlignment="1">
      <alignment horizontal="left"/>
    </xf>
    <xf numFmtId="175" fontId="48" fillId="47" borderId="0" xfId="0" applyFont="1" applyFill="1" applyProtection="1">
      <protection locked="0"/>
    </xf>
    <xf numFmtId="175" fontId="128" fillId="47" borderId="0" xfId="0" applyFont="1" applyFill="1" applyAlignment="1">
      <alignment vertical="top" wrapText="1"/>
    </xf>
    <xf numFmtId="175" fontId="126" fillId="0" borderId="0" xfId="66" applyFont="1" applyProtection="1">
      <protection locked="0"/>
    </xf>
    <xf numFmtId="175" fontId="128" fillId="0" borderId="0" xfId="66" applyFont="1" applyProtection="1">
      <protection locked="0"/>
    </xf>
    <xf numFmtId="14" fontId="14" fillId="0" borderId="11" xfId="0" applyNumberFormat="1" applyFont="1" applyBorder="1"/>
    <xf numFmtId="175" fontId="14" fillId="47" borderId="11" xfId="66" applyFont="1" applyFill="1" applyBorder="1" applyAlignment="1" applyProtection="1">
      <alignment horizontal="center"/>
      <protection locked="0"/>
    </xf>
    <xf numFmtId="2" fontId="14" fillId="47" borderId="11" xfId="66" applyNumberFormat="1" applyFont="1" applyFill="1" applyBorder="1" applyProtection="1">
      <protection locked="0"/>
    </xf>
    <xf numFmtId="16" fontId="14" fillId="0" borderId="11" xfId="0" applyNumberFormat="1" applyFont="1" applyBorder="1" applyAlignment="1">
      <alignment horizontal="right"/>
    </xf>
    <xf numFmtId="1" fontId="14" fillId="47" borderId="11" xfId="66" applyNumberFormat="1" applyFont="1" applyFill="1" applyBorder="1" applyAlignment="1" applyProtection="1">
      <alignment horizontal="center"/>
      <protection locked="0"/>
    </xf>
    <xf numFmtId="175" fontId="14" fillId="0" borderId="11" xfId="0" applyFont="1" applyBorder="1"/>
    <xf numFmtId="1" fontId="14" fillId="47" borderId="11" xfId="66" quotePrefix="1" applyNumberFormat="1" applyFont="1" applyFill="1" applyBorder="1" applyAlignment="1" applyProtection="1">
      <alignment horizontal="center"/>
      <protection locked="0"/>
    </xf>
    <xf numFmtId="164" fontId="66" fillId="0" borderId="96" xfId="66" applyNumberFormat="1" applyFont="1" applyBorder="1"/>
    <xf numFmtId="164" fontId="66" fillId="0" borderId="96" xfId="66" applyNumberFormat="1" applyFont="1" applyBorder="1" applyAlignment="1"/>
    <xf numFmtId="175" fontId="127" fillId="47" borderId="0" xfId="66" applyFont="1" applyFill="1" applyAlignment="1" applyProtection="1">
      <alignment vertical="center"/>
      <protection locked="0"/>
    </xf>
    <xf numFmtId="175" fontId="126" fillId="47" borderId="0" xfId="66" applyFont="1" applyFill="1" applyProtection="1">
      <protection locked="0"/>
    </xf>
    <xf numFmtId="175" fontId="126" fillId="0" borderId="0" xfId="66" applyFont="1" applyAlignment="1">
      <alignment wrapText="1"/>
    </xf>
    <xf numFmtId="175" fontId="126" fillId="47" borderId="0" xfId="66" applyFont="1" applyFill="1" applyAlignment="1"/>
    <xf numFmtId="175" fontId="70" fillId="47" borderId="0" xfId="0" quotePrefix="1" applyFont="1" applyFill="1" applyProtection="1">
      <protection locked="0"/>
    </xf>
    <xf numFmtId="175" fontId="128" fillId="52" borderId="0" xfId="0" applyFont="1" applyFill="1" applyBorder="1"/>
    <xf numFmtId="175" fontId="14" fillId="0" borderId="13" xfId="0" applyFont="1" applyBorder="1" applyAlignment="1">
      <alignment vertical="center"/>
    </xf>
    <xf numFmtId="2" fontId="14" fillId="0" borderId="97" xfId="0" applyNumberFormat="1" applyFont="1" applyBorder="1" applyAlignment="1">
      <alignment vertical="center"/>
    </xf>
    <xf numFmtId="3" fontId="14" fillId="52" borderId="41" xfId="0" applyNumberFormat="1" applyFont="1" applyFill="1" applyBorder="1" applyAlignment="1">
      <alignment horizontal="center" vertical="center"/>
    </xf>
    <xf numFmtId="3" fontId="14" fillId="0" borderId="98" xfId="0" applyNumberFormat="1" applyFont="1" applyBorder="1" applyAlignment="1">
      <alignment horizontal="left" vertical="center" wrapText="1"/>
    </xf>
    <xf numFmtId="2" fontId="14" fillId="0" borderId="11" xfId="0" applyNumberFormat="1" applyFont="1" applyBorder="1" applyAlignment="1">
      <alignment vertical="center"/>
    </xf>
    <xf numFmtId="3" fontId="14" fillId="52" borderId="11" xfId="0" applyNumberFormat="1" applyFont="1" applyFill="1" applyBorder="1" applyAlignment="1">
      <alignment horizontal="center" vertical="center"/>
    </xf>
    <xf numFmtId="175" fontId="14" fillId="0" borderId="0" xfId="0" applyFont="1" applyBorder="1"/>
    <xf numFmtId="175" fontId="62" fillId="0" borderId="0" xfId="0" quotePrefix="1" applyFont="1" applyBorder="1"/>
    <xf numFmtId="3" fontId="14" fillId="0" borderId="41" xfId="0" applyNumberFormat="1" applyFont="1" applyBorder="1" applyAlignment="1">
      <alignment horizontal="center" vertical="center"/>
    </xf>
    <xf numFmtId="3" fontId="14" fillId="0" borderId="99" xfId="0" applyNumberFormat="1" applyFont="1" applyBorder="1" applyAlignment="1">
      <alignment horizontal="left" vertical="center" wrapText="1"/>
    </xf>
    <xf numFmtId="3" fontId="14" fillId="0" borderId="11" xfId="0" applyNumberFormat="1" applyFont="1" applyBorder="1" applyAlignment="1">
      <alignment horizontal="center" vertical="center"/>
    </xf>
    <xf numFmtId="175" fontId="126" fillId="52" borderId="0" xfId="0" applyFont="1" applyFill="1" applyBorder="1" applyAlignment="1"/>
    <xf numFmtId="175" fontId="57" fillId="0" borderId="34" xfId="0" applyFont="1" applyBorder="1" applyAlignment="1">
      <alignment vertical="center"/>
    </xf>
    <xf numFmtId="2" fontId="57" fillId="0" borderId="16" xfId="0" applyNumberFormat="1" applyFont="1" applyBorder="1" applyAlignment="1">
      <alignment vertical="center"/>
    </xf>
    <xf numFmtId="2" fontId="57" fillId="0" borderId="100" xfId="0" applyNumberFormat="1" applyFont="1" applyBorder="1" applyAlignment="1">
      <alignment vertical="center"/>
    </xf>
    <xf numFmtId="175" fontId="130" fillId="0" borderId="0" xfId="66" applyFont="1" applyProtection="1">
      <protection locked="0"/>
    </xf>
    <xf numFmtId="0" fontId="131" fillId="0" borderId="0" xfId="520" applyFont="1"/>
    <xf numFmtId="6" fontId="131" fillId="0" borderId="0" xfId="520" applyNumberFormat="1" applyFont="1"/>
    <xf numFmtId="168" fontId="131" fillId="0" borderId="0" xfId="52" applyNumberFormat="1" applyFont="1"/>
    <xf numFmtId="175" fontId="14" fillId="0" borderId="0" xfId="66" applyFill="1" applyProtection="1">
      <protection locked="0"/>
    </xf>
    <xf numFmtId="175" fontId="14" fillId="0" borderId="37" xfId="66" applyFill="1" applyBorder="1" applyProtection="1">
      <protection locked="0"/>
    </xf>
    <xf numFmtId="175" fontId="14" fillId="0" borderId="18" xfId="66" applyFill="1" applyBorder="1" applyProtection="1">
      <protection locked="0"/>
    </xf>
    <xf numFmtId="175" fontId="15" fillId="0" borderId="11" xfId="66" applyFont="1" applyFill="1" applyBorder="1" applyAlignment="1" applyProtection="1">
      <alignment horizontal="center" wrapText="1"/>
      <protection locked="0"/>
    </xf>
    <xf numFmtId="175" fontId="15" fillId="0" borderId="13" xfId="66" applyFont="1" applyFill="1" applyBorder="1" applyAlignment="1" applyProtection="1">
      <alignment horizontal="center" wrapText="1"/>
      <protection locked="0"/>
    </xf>
    <xf numFmtId="42" fontId="14" fillId="0" borderId="18" xfId="66" applyNumberFormat="1" applyFill="1" applyBorder="1"/>
    <xf numFmtId="42" fontId="14" fillId="0" borderId="13" xfId="66" applyNumberFormat="1" applyFill="1" applyBorder="1"/>
    <xf numFmtId="42" fontId="14" fillId="0" borderId="11" xfId="66" applyNumberFormat="1" applyFill="1" applyBorder="1"/>
    <xf numFmtId="42" fontId="14" fillId="0" borderId="17" xfId="66" applyNumberFormat="1" applyFill="1" applyBorder="1"/>
    <xf numFmtId="42" fontId="14" fillId="0" borderId="0" xfId="66" applyNumberFormat="1" applyFill="1" applyProtection="1">
      <protection locked="0"/>
    </xf>
    <xf numFmtId="164" fontId="14" fillId="0" borderId="42" xfId="66" applyNumberFormat="1" applyFill="1" applyBorder="1" applyProtection="1">
      <protection locked="0"/>
    </xf>
    <xf numFmtId="0" fontId="62" fillId="0" borderId="0" xfId="66" applyNumberFormat="1" applyFont="1" applyAlignment="1">
      <alignment horizontal="left"/>
    </xf>
    <xf numFmtId="164" fontId="69" fillId="0" borderId="0" xfId="66" applyNumberFormat="1" applyFont="1"/>
    <xf numFmtId="175" fontId="62" fillId="47" borderId="0" xfId="66" applyFont="1" applyFill="1" applyAlignment="1">
      <alignment wrapText="1"/>
    </xf>
    <xf numFmtId="175" fontId="62" fillId="0" borderId="0" xfId="66" applyFont="1" applyAlignment="1">
      <alignment wrapText="1"/>
    </xf>
    <xf numFmtId="175" fontId="62" fillId="47" borderId="0" xfId="66" applyFont="1" applyFill="1" applyAlignment="1"/>
    <xf numFmtId="42" fontId="132" fillId="0" borderId="21" xfId="520" applyNumberFormat="1" applyFont="1" applyBorder="1"/>
    <xf numFmtId="175" fontId="66" fillId="47" borderId="52" xfId="66" applyFont="1" applyFill="1" applyBorder="1" applyAlignment="1">
      <alignment wrapText="1"/>
    </xf>
    <xf numFmtId="164" fontId="66" fillId="47" borderId="51" xfId="66" applyNumberFormat="1" applyFont="1" applyFill="1" applyBorder="1"/>
    <xf numFmtId="164" fontId="66" fillId="47" borderId="73" xfId="66" applyNumberFormat="1" applyFont="1" applyFill="1" applyBorder="1" applyAlignment="1">
      <alignment horizontal="right"/>
    </xf>
    <xf numFmtId="175" fontId="15" fillId="47" borderId="61" xfId="66" applyFont="1" applyFill="1" applyBorder="1" applyAlignment="1">
      <alignment wrapText="1"/>
    </xf>
    <xf numFmtId="164" fontId="15" fillId="47" borderId="62" xfId="66" applyNumberFormat="1" applyFont="1" applyFill="1" applyBorder="1" applyAlignment="1">
      <alignment horizontal="right"/>
    </xf>
    <xf numFmtId="164" fontId="14" fillId="47" borderId="0" xfId="66" applyNumberFormat="1" applyFill="1"/>
    <xf numFmtId="164" fontId="14" fillId="0" borderId="54" xfId="66" applyNumberFormat="1" applyBorder="1" applyAlignment="1">
      <alignment horizontal="right"/>
    </xf>
    <xf numFmtId="164" fontId="14" fillId="0" borderId="39" xfId="66" applyNumberFormat="1" applyBorder="1" applyAlignment="1">
      <alignment horizontal="right"/>
    </xf>
    <xf numFmtId="175" fontId="14" fillId="0" borderId="0" xfId="66" applyAlignment="1">
      <alignment horizontal="right"/>
    </xf>
    <xf numFmtId="164" fontId="14" fillId="0" borderId="0" xfId="66" applyNumberFormat="1" applyAlignment="1" applyProtection="1">
      <alignment horizontal="right"/>
      <protection locked="0"/>
    </xf>
    <xf numFmtId="164" fontId="14" fillId="0" borderId="0" xfId="66" applyNumberFormat="1" applyBorder="1" applyAlignment="1" applyProtection="1">
      <alignment horizontal="right"/>
      <protection locked="0"/>
    </xf>
    <xf numFmtId="164" fontId="14" fillId="0" borderId="14" xfId="66" applyNumberFormat="1" applyBorder="1" applyAlignment="1" applyProtection="1">
      <alignment horizontal="right"/>
      <protection locked="0"/>
    </xf>
    <xf numFmtId="164" fontId="14" fillId="0" borderId="59" xfId="66" applyNumberFormat="1" applyBorder="1" applyAlignment="1">
      <alignment horizontal="right"/>
    </xf>
    <xf numFmtId="164" fontId="15" fillId="0" borderId="61" xfId="66" applyNumberFormat="1" applyFont="1" applyBorder="1" applyAlignment="1">
      <alignment horizontal="right"/>
    </xf>
    <xf numFmtId="164" fontId="15" fillId="47" borderId="61" xfId="66" applyNumberFormat="1" applyFont="1" applyFill="1" applyBorder="1" applyAlignment="1">
      <alignment horizontal="right"/>
    </xf>
    <xf numFmtId="175" fontId="66" fillId="43" borderId="96" xfId="66" applyFont="1" applyFill="1" applyBorder="1" applyAlignment="1">
      <alignment horizontal="right"/>
    </xf>
    <xf numFmtId="164" fontId="67" fillId="0" borderId="101" xfId="66" applyNumberFormat="1" applyFont="1" applyBorder="1"/>
    <xf numFmtId="175" fontId="66" fillId="43" borderId="102" xfId="66" applyFont="1" applyFill="1" applyBorder="1" applyAlignment="1">
      <alignment horizontal="center" wrapText="1"/>
    </xf>
    <xf numFmtId="164" fontId="66" fillId="0" borderId="102" xfId="66" applyNumberFormat="1" applyFont="1" applyBorder="1" applyAlignment="1">
      <alignment horizontal="right"/>
    </xf>
    <xf numFmtId="164" fontId="66" fillId="0" borderId="102" xfId="66" applyNumberFormat="1" applyFont="1" applyBorder="1"/>
    <xf numFmtId="6" fontId="14" fillId="0" borderId="27" xfId="66" applyNumberFormat="1" applyBorder="1" applyProtection="1">
      <protection locked="0"/>
    </xf>
    <xf numFmtId="6" fontId="14" fillId="0" borderId="95" xfId="66" applyNumberFormat="1" applyBorder="1" applyProtection="1">
      <protection locked="0"/>
    </xf>
    <xf numFmtId="42" fontId="14" fillId="0" borderId="0" xfId="66" applyNumberFormat="1" applyFill="1" applyBorder="1"/>
    <xf numFmtId="6" fontId="14" fillId="0" borderId="13" xfId="66" applyNumberFormat="1" applyBorder="1" applyAlignment="1">
      <alignment horizontal="right"/>
    </xf>
    <xf numFmtId="167" fontId="14" fillId="0" borderId="13" xfId="66" applyNumberFormat="1" applyBorder="1" applyAlignment="1">
      <alignment horizontal="right"/>
    </xf>
    <xf numFmtId="42" fontId="14" fillId="0" borderId="20" xfId="66" applyNumberFormat="1" applyBorder="1"/>
    <xf numFmtId="167" fontId="14" fillId="0" borderId="11" xfId="66" applyNumberFormat="1" applyBorder="1" applyAlignment="1">
      <alignment horizontal="right"/>
    </xf>
    <xf numFmtId="167" fontId="14" fillId="0" borderId="11" xfId="66" applyNumberFormat="1" applyBorder="1"/>
    <xf numFmtId="167" fontId="14" fillId="0" borderId="13" xfId="66" applyNumberFormat="1" applyBorder="1"/>
    <xf numFmtId="167" fontId="14" fillId="47" borderId="13" xfId="66" applyNumberFormat="1" applyFill="1" applyBorder="1" applyAlignment="1">
      <alignment horizontal="right"/>
    </xf>
    <xf numFmtId="42" fontId="14" fillId="0" borderId="11" xfId="66" applyNumberFormat="1" applyBorder="1" applyAlignment="1">
      <alignment horizontal="right"/>
    </xf>
    <xf numFmtId="42" fontId="14" fillId="0" borderId="11" xfId="66" applyNumberFormat="1" applyFill="1" applyBorder="1" applyAlignment="1">
      <alignment horizontal="right"/>
    </xf>
    <xf numFmtId="42" fontId="14" fillId="47" borderId="20" xfId="66" applyNumberFormat="1" applyFill="1" applyBorder="1" applyAlignment="1">
      <alignment horizontal="right"/>
    </xf>
    <xf numFmtId="42" fontId="14" fillId="49" borderId="11" xfId="520" applyNumberFormat="1" applyFont="1" applyFill="1" applyBorder="1"/>
    <xf numFmtId="42" fontId="14" fillId="0" borderId="15" xfId="520" applyNumberFormat="1" applyFont="1" applyBorder="1"/>
    <xf numFmtId="42" fontId="14" fillId="0" borderId="13" xfId="520" applyNumberFormat="1" applyFont="1" applyBorder="1"/>
    <xf numFmtId="42" fontId="14" fillId="0" borderId="13" xfId="520" applyNumberFormat="1" applyFill="1" applyBorder="1"/>
    <xf numFmtId="42" fontId="14" fillId="0" borderId="41" xfId="520" applyNumberFormat="1" applyFill="1" applyBorder="1"/>
    <xf numFmtId="42" fontId="14" fillId="0" borderId="0" xfId="520" applyNumberFormat="1" applyFont="1" applyFill="1"/>
    <xf numFmtId="42" fontId="14" fillId="0" borderId="41" xfId="520" applyNumberFormat="1" applyFont="1" applyFill="1" applyBorder="1"/>
    <xf numFmtId="42" fontId="14" fillId="0" borderId="15" xfId="520" applyNumberFormat="1" applyFill="1" applyBorder="1"/>
    <xf numFmtId="42" fontId="14" fillId="0" borderId="48" xfId="520" applyNumberFormat="1" applyFill="1" applyBorder="1"/>
    <xf numFmtId="42" fontId="74" fillId="0" borderId="0" xfId="520" applyNumberFormat="1" applyFont="1" applyFill="1"/>
    <xf numFmtId="42" fontId="75" fillId="0" borderId="0" xfId="520" applyNumberFormat="1" applyFont="1"/>
    <xf numFmtId="175" fontId="62" fillId="47" borderId="0" xfId="0" quotePrefix="1" applyFont="1" applyFill="1" applyAlignment="1">
      <alignment horizontal="left" vertical="top" wrapText="1"/>
    </xf>
    <xf numFmtId="175" fontId="15" fillId="0" borderId="63" xfId="0" applyFont="1" applyBorder="1" applyAlignment="1">
      <alignment horizontal="center"/>
    </xf>
    <xf numFmtId="175" fontId="15" fillId="0" borderId="64" xfId="0" applyFont="1" applyBorder="1" applyAlignment="1">
      <alignment horizontal="center"/>
    </xf>
    <xf numFmtId="175" fontId="15" fillId="0" borderId="65" xfId="0" applyFont="1" applyBorder="1" applyAlignment="1">
      <alignment horizontal="center"/>
    </xf>
    <xf numFmtId="175" fontId="62" fillId="0" borderId="0" xfId="0" quotePrefix="1" applyFont="1" applyBorder="1" applyAlignment="1"/>
    <xf numFmtId="175" fontId="62" fillId="0" borderId="0" xfId="0" applyFont="1" applyBorder="1" applyAlignment="1"/>
    <xf numFmtId="175" fontId="126" fillId="47" borderId="0" xfId="0" quotePrefix="1" applyFont="1" applyFill="1" applyAlignment="1">
      <alignment horizontal="left" vertical="top" wrapText="1"/>
    </xf>
    <xf numFmtId="175" fontId="62" fillId="52" borderId="0" xfId="0" quotePrefix="1" applyFont="1" applyFill="1" applyBorder="1" applyAlignment="1"/>
    <xf numFmtId="175" fontId="62" fillId="52" borderId="0" xfId="0" applyFont="1" applyFill="1" applyBorder="1" applyAlignment="1"/>
    <xf numFmtId="175" fontId="15" fillId="0" borderId="17" xfId="0" applyFont="1" applyBorder="1" applyAlignment="1">
      <alignment horizontal="center"/>
    </xf>
    <xf numFmtId="175" fontId="15" fillId="0" borderId="0" xfId="0" applyFont="1" applyBorder="1" applyAlignment="1">
      <alignment horizontal="center"/>
    </xf>
    <xf numFmtId="175" fontId="15" fillId="0" borderId="41" xfId="0" applyFont="1" applyBorder="1" applyAlignment="1">
      <alignment horizontal="center"/>
    </xf>
    <xf numFmtId="175" fontId="69" fillId="0" borderId="0" xfId="0" applyFont="1" applyAlignment="1">
      <alignment vertical="top" wrapText="1"/>
    </xf>
    <xf numFmtId="175" fontId="62" fillId="52" borderId="0" xfId="0" quotePrefix="1" applyFont="1" applyFill="1" applyBorder="1" applyAlignment="1">
      <alignment vertical="justify"/>
    </xf>
    <xf numFmtId="175" fontId="62" fillId="52" borderId="0" xfId="0" applyFont="1" applyFill="1" applyBorder="1" applyAlignment="1">
      <alignment vertical="justify"/>
    </xf>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5" fillId="47" borderId="20" xfId="66" applyFont="1" applyFill="1" applyBorder="1" applyAlignment="1">
      <alignment horizontal="center" wrapText="1"/>
    </xf>
    <xf numFmtId="175" fontId="55" fillId="47" borderId="18" xfId="66" applyFont="1" applyFill="1" applyBorder="1" applyAlignment="1">
      <alignment horizontal="center" wrapText="1"/>
    </xf>
    <xf numFmtId="175" fontId="55" fillId="47" borderId="19" xfId="66" applyFont="1" applyFill="1" applyBorder="1" applyAlignment="1">
      <alignment horizontal="center" wrapText="1"/>
    </xf>
    <xf numFmtId="175" fontId="14" fillId="0" borderId="0" xfId="66" applyAlignment="1">
      <alignment wrapText="1"/>
    </xf>
    <xf numFmtId="175" fontId="62" fillId="0" borderId="0" xfId="66" applyFont="1" applyAlignment="1">
      <alignment wrapText="1"/>
    </xf>
    <xf numFmtId="164" fontId="14" fillId="0" borderId="96" xfId="66" applyNumberFormat="1" applyBorder="1" applyAlignment="1">
      <alignment horizontal="right"/>
    </xf>
    <xf numFmtId="164" fontId="14" fillId="0" borderId="103" xfId="66" applyNumberFormat="1" applyBorder="1" applyAlignment="1">
      <alignment horizontal="right"/>
    </xf>
    <xf numFmtId="164" fontId="14" fillId="44" borderId="96" xfId="66" applyNumberFormat="1" applyFill="1" applyBorder="1" applyAlignment="1">
      <alignment horizontal="right"/>
    </xf>
    <xf numFmtId="164" fontId="15" fillId="47" borderId="46" xfId="66" applyNumberFormat="1" applyFont="1" applyFill="1" applyBorder="1" applyAlignment="1">
      <alignment horizontal="right"/>
    </xf>
    <xf numFmtId="175" fontId="15" fillId="0" borderId="60" xfId="66" applyFont="1" applyBorder="1"/>
    <xf numFmtId="175" fontId="15" fillId="0" borderId="102" xfId="66" applyFont="1" applyBorder="1"/>
    <xf numFmtId="175" fontId="15" fillId="0" borderId="102" xfId="66" applyFont="1" applyBorder="1" applyAlignment="1">
      <alignment horizontal="left" wrapText="1" indent="1"/>
    </xf>
    <xf numFmtId="175" fontId="15" fillId="0" borderId="102" xfId="66" applyFont="1" applyBorder="1" applyAlignment="1">
      <alignment horizontal="left" indent="1"/>
    </xf>
    <xf numFmtId="175" fontId="15" fillId="0" borderId="104" xfId="66" applyFont="1" applyBorder="1" applyAlignment="1">
      <alignment horizontal="left" indent="1"/>
    </xf>
  </cellXfs>
  <cellStyles count="3314">
    <cellStyle name="20% - Accent1" xfId="1" builtinId="30" customBuiltin="1"/>
    <cellStyle name="20% - Accent1 10" xfId="2615" xr:uid="{0530D38E-A898-4260-B744-EE0FD3F51670}"/>
    <cellStyle name="20% - Accent1 11" xfId="946" xr:uid="{BDB4F86E-C395-4B17-B047-8C5095DD363A}"/>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3" xfId="2288" xr:uid="{F2E1F472-CE35-4D10-8FEB-758E8C07E3DD}"/>
    <cellStyle name="20% - Accent1 2 3 3" xfId="1808" xr:uid="{D3C92B8B-90D6-43B2-8227-DEE1BA0F0E5B}"/>
    <cellStyle name="20% - Accent1 2 3 3 2" xfId="2646" xr:uid="{70FB1B76-3321-46D4-9106-9DA2EEA22BFB}"/>
    <cellStyle name="20% - Accent1 2 3 4" xfId="2287" xr:uid="{D4B2E421-0561-416A-A741-CB28425CB29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3" xfId="2290" xr:uid="{6F895BEF-BCED-40AC-96A0-82BD08C4B72E}"/>
    <cellStyle name="20% - Accent1 3 3" xfId="1809" xr:uid="{931AC7EF-5BF8-4AFB-B058-9DF3DAB1E317}"/>
    <cellStyle name="20% - Accent1 3 3 2" xfId="2647" xr:uid="{78A469D2-3877-443D-9D6E-B6F0FBCDFBDA}"/>
    <cellStyle name="20% - Accent1 3 4" xfId="2289" xr:uid="{4303F234-775D-4272-856E-58CA7093D8D3}"/>
    <cellStyle name="20% - Accent1 3 5" xfId="942" xr:uid="{E7080B5B-02A6-4315-B7D0-BA9EBFCC9C42}"/>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3" xfId="2292" xr:uid="{904A13CC-9511-44BD-A155-55A1461B31BA}"/>
    <cellStyle name="20% - Accent1 4 3" xfId="1807" xr:uid="{AC47F1B8-BBE0-4DD0-97EF-DB99F3D3AE25}"/>
    <cellStyle name="20% - Accent1 4 3 2" xfId="2645" xr:uid="{B162F789-3EB4-478C-B48C-A5391DEB21B6}"/>
    <cellStyle name="20% - Accent1 4 4" xfId="2291" xr:uid="{82B67865-F285-40AF-9237-AC60663EB795}"/>
    <cellStyle name="20% - Accent1 4 5" xfId="960" xr:uid="{02CF68AE-40E1-4C03-A7E5-9AFC9172E6DB}"/>
    <cellStyle name="20% - Accent1 5" xfId="241" xr:uid="{00000000-0005-0000-0000-000004000000}"/>
    <cellStyle name="20% - Accent1 5 2" xfId="1959" xr:uid="{6442A17C-839A-46CD-B1B9-93CBF511BD65}"/>
    <cellStyle name="20% - Accent1 5 2 2" xfId="2797" xr:uid="{80DEC1DD-596A-4720-A340-92C2CEE2C833}"/>
    <cellStyle name="20% - Accent1 5 3" xfId="2293" xr:uid="{7411B0E5-644C-40F4-B004-9B1A2ECC1281}"/>
    <cellStyle name="20% - Accent1 5 4" xfId="947" xr:uid="{CFF7AC42-0470-4B78-BB57-0CCC00B31340}"/>
    <cellStyle name="20% - Accent1 6" xfId="290" xr:uid="{00000000-0005-0000-0000-000005000000}"/>
    <cellStyle name="20% - Accent1 6 2" xfId="2627" xr:uid="{59F633C1-AD72-4529-B123-A543BBBE47A7}"/>
    <cellStyle name="20% - Accent1 6 3" xfId="1789" xr:uid="{6F1A6773-3269-469E-80C2-09CF3E968FCC}"/>
    <cellStyle name="20% - Accent1 7" xfId="354" xr:uid="{00000000-0005-0000-0000-000006000000}"/>
    <cellStyle name="20% - Accent1 7 2" xfId="2969" xr:uid="{89D922CA-8333-4F9E-AB5D-C60140539537}"/>
    <cellStyle name="20% - Accent1 7 3" xfId="2131" xr:uid="{D72A6829-37BD-4F41-9960-E092A72BDF3B}"/>
    <cellStyle name="20% - Accent1 8" xfId="425" xr:uid="{00000000-0005-0000-0000-000007000000}"/>
    <cellStyle name="20% - Accent1 8 2" xfId="2160" xr:uid="{68F8AC44-09E9-4ECD-93A0-EC765A37E977}"/>
    <cellStyle name="20% - Accent1 9" xfId="529" xr:uid="{00000000-0005-0000-0000-000008000000}"/>
    <cellStyle name="20% - Accent1 9 2" xfId="2174" xr:uid="{CBCBBE3E-F28D-4BF9-A80D-AFD5EEA10506}"/>
    <cellStyle name="20% - Accent2" xfId="2" builtinId="34" customBuiltin="1"/>
    <cellStyle name="20% - Accent2 10" xfId="2617" xr:uid="{D45E1C98-4E1F-4737-8142-6EA2ECD1C7F5}"/>
    <cellStyle name="20% - Accent2 11" xfId="920" xr:uid="{2F2F1766-9CCF-4EBF-B47F-27C648F64C4A}"/>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3" xfId="2295" xr:uid="{2A4ECBE2-27F8-4DBD-BC85-DAC1F0AA44CF}"/>
    <cellStyle name="20% - Accent2 2 3 3" xfId="1811" xr:uid="{21A02DD9-FFA4-402E-AD4B-44701A16DAC2}"/>
    <cellStyle name="20% - Accent2 2 3 3 2" xfId="2649" xr:uid="{792D5E3A-8196-4FB9-95E5-759F715902F2}"/>
    <cellStyle name="20% - Accent2 2 3 4" xfId="2294" xr:uid="{3B21621E-C054-4AE6-8A37-DCB9000D8E03}"/>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3" xfId="2297" xr:uid="{5C6C3C63-DB64-4647-A265-5AD6BE0A1443}"/>
    <cellStyle name="20% - Accent2 3 3" xfId="1812" xr:uid="{75D0AB1F-B9FC-4034-BB14-1369BFBCB17E}"/>
    <cellStyle name="20% - Accent2 3 3 2" xfId="2650" xr:uid="{F2E1BF83-BC92-41D2-9709-E7B16480C76E}"/>
    <cellStyle name="20% - Accent2 3 4" xfId="2296" xr:uid="{C7C4C218-3E26-423B-9E12-AB31850DA3BB}"/>
    <cellStyle name="20% - Accent2 3 5" xfId="964" xr:uid="{747F896C-B310-485C-BD92-091169BFE826}"/>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3" xfId="2299" xr:uid="{1747903F-0B48-4C12-9BAD-90FE64F55E93}"/>
    <cellStyle name="20% - Accent2 4 3" xfId="1810" xr:uid="{0D55ACEC-1AEA-4006-B035-2A1814D9ADA4}"/>
    <cellStyle name="20% - Accent2 4 3 2" xfId="2648" xr:uid="{2DB052C7-9684-45DB-A591-59F29978BF64}"/>
    <cellStyle name="20% - Accent2 4 4" xfId="2298" xr:uid="{08219391-EDCF-4578-B04B-4E4572C6F6C3}"/>
    <cellStyle name="20% - Accent2 4 5" xfId="966" xr:uid="{3E164E5F-D548-463E-8B9F-25F30C671444}"/>
    <cellStyle name="20% - Accent2 5" xfId="242" xr:uid="{00000000-0005-0000-0000-00000D000000}"/>
    <cellStyle name="20% - Accent2 5 2" xfId="1960" xr:uid="{6268BA2A-8D35-4295-9938-7664CA5A71D8}"/>
    <cellStyle name="20% - Accent2 5 2 2" xfId="2798" xr:uid="{948ACF38-882A-48B8-AD57-0F2CF7A5AF5C}"/>
    <cellStyle name="20% - Accent2 5 3" xfId="2300" xr:uid="{8D329776-F97E-4510-8EDA-62F7699BCC57}"/>
    <cellStyle name="20% - Accent2 5 4" xfId="968" xr:uid="{1D41414A-D504-41CB-BB73-B4F86C41A2B1}"/>
    <cellStyle name="20% - Accent2 6" xfId="291" xr:uid="{00000000-0005-0000-0000-00000E000000}"/>
    <cellStyle name="20% - Accent2 6 2" xfId="2628" xr:uid="{B5F1A896-7B3A-4D37-B3F1-8BF87E2C41B2}"/>
    <cellStyle name="20% - Accent2 6 3" xfId="1790" xr:uid="{A8679535-76C2-4C95-B1F6-C2F50B4DBCBD}"/>
    <cellStyle name="20% - Accent2 7" xfId="355" xr:uid="{00000000-0005-0000-0000-00000F000000}"/>
    <cellStyle name="20% - Accent2 7 2" xfId="2971" xr:uid="{64F5F296-F612-4CD5-AE57-82342F3A4393}"/>
    <cellStyle name="20% - Accent2 7 3" xfId="2133" xr:uid="{56DF31E3-FB5D-40BA-BE3B-0779244E3523}"/>
    <cellStyle name="20% - Accent2 8" xfId="426" xr:uid="{00000000-0005-0000-0000-000010000000}"/>
    <cellStyle name="20% - Accent2 8 2" xfId="2162" xr:uid="{84855050-F300-458B-B537-D1EC01D7189E}"/>
    <cellStyle name="20% - Accent2 9" xfId="530" xr:uid="{00000000-0005-0000-0000-000011000000}"/>
    <cellStyle name="20% - Accent2 9 2" xfId="2176" xr:uid="{5D233639-AE42-4B0D-8AE6-25139EF609DB}"/>
    <cellStyle name="20% - Accent3" xfId="3" builtinId="38" customBuiltin="1"/>
    <cellStyle name="20% - Accent3 10" xfId="2619" xr:uid="{5CFCA78F-B461-4BCC-B775-E9685F5266A1}"/>
    <cellStyle name="20% - Accent3 11" xfId="954" xr:uid="{9976CA03-160C-4561-8E89-EC9ABB380422}"/>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3" xfId="2302" xr:uid="{7AF0586B-4310-44E5-8DEF-47382984C71B}"/>
    <cellStyle name="20% - Accent3 2 3 3" xfId="1814" xr:uid="{839C1B10-9B83-4B60-AB4B-FE08CDA912F4}"/>
    <cellStyle name="20% - Accent3 2 3 3 2" xfId="2652" xr:uid="{A70331FB-B14B-4662-AD51-6735DAE2076D}"/>
    <cellStyle name="20% - Accent3 2 3 4" xfId="2301" xr:uid="{E1F9037A-2C5B-4BB8-A074-9C70863CF6D1}"/>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3" xfId="2304" xr:uid="{F8983E88-6832-4586-BC30-679C8E76A32B}"/>
    <cellStyle name="20% - Accent3 3 3" xfId="1815" xr:uid="{592F98F2-B4AD-42AB-A6E2-67FF0950841F}"/>
    <cellStyle name="20% - Accent3 3 3 2" xfId="2653" xr:uid="{0AFD1EF2-0FE0-4765-8734-E1D7A3853E8C}"/>
    <cellStyle name="20% - Accent3 3 4" xfId="2303" xr:uid="{0B87E608-DF69-4BD0-9AE9-4033E259A740}"/>
    <cellStyle name="20% - Accent3 3 5" xfId="973" xr:uid="{AB5D054D-9FD3-4F54-AD65-B7435A73F58A}"/>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3" xfId="2306" xr:uid="{FAAC5063-06E2-4296-AF98-8664D2AABEC0}"/>
    <cellStyle name="20% - Accent3 4 3" xfId="1813" xr:uid="{D0B87D49-0A48-40F1-A7CB-BD29ABBC3EF9}"/>
    <cellStyle name="20% - Accent3 4 3 2" xfId="2651" xr:uid="{10423483-C5BF-42FD-8CB6-7B6538F6630F}"/>
    <cellStyle name="20% - Accent3 4 4" xfId="2305" xr:uid="{ADF42BCE-45BB-4408-9F27-C0EA8972DA18}"/>
    <cellStyle name="20% - Accent3 4 5" xfId="975" xr:uid="{543CACB9-489A-41CD-93A0-84EF0D365944}"/>
    <cellStyle name="20% - Accent3 5" xfId="243" xr:uid="{00000000-0005-0000-0000-000016000000}"/>
    <cellStyle name="20% - Accent3 5 2" xfId="1961" xr:uid="{E753CB56-69F4-4C75-ADDD-E0D6EE7BD3A1}"/>
    <cellStyle name="20% - Accent3 5 2 2" xfId="2799" xr:uid="{BD45DB39-6319-4D67-A57B-414913B399B5}"/>
    <cellStyle name="20% - Accent3 5 3" xfId="2307" xr:uid="{10772820-7654-4DBC-AC0F-34B83BBBF6F9}"/>
    <cellStyle name="20% - Accent3 5 4" xfId="977" xr:uid="{ADED9F3F-8F59-4E0E-8A8E-94684C4899FC}"/>
    <cellStyle name="20% - Accent3 6" xfId="292" xr:uid="{00000000-0005-0000-0000-000017000000}"/>
    <cellStyle name="20% - Accent3 6 2" xfId="2629" xr:uid="{DE824507-CB77-4F9F-95D5-EE06AC53C063}"/>
    <cellStyle name="20% - Accent3 6 3" xfId="1791" xr:uid="{F38B3921-7B0D-48AC-BB6C-454285E7984D}"/>
    <cellStyle name="20% - Accent3 7" xfId="356" xr:uid="{00000000-0005-0000-0000-000018000000}"/>
    <cellStyle name="20% - Accent3 7 2" xfId="2973" xr:uid="{EBBCB823-A93A-43C1-927B-87CAA8A2BAAD}"/>
    <cellStyle name="20% - Accent3 7 3" xfId="2135" xr:uid="{725C397B-6B53-4D9C-B684-4026A2DB8815}"/>
    <cellStyle name="20% - Accent3 8" xfId="427" xr:uid="{00000000-0005-0000-0000-000019000000}"/>
    <cellStyle name="20% - Accent3 8 2" xfId="2164" xr:uid="{0F0926F3-ECC6-4B25-9A8F-31F3B010F4B7}"/>
    <cellStyle name="20% - Accent3 9" xfId="531" xr:uid="{00000000-0005-0000-0000-00001A000000}"/>
    <cellStyle name="20% - Accent3 9 2" xfId="2178" xr:uid="{F5635B58-C54B-431A-A9D3-BB0919FD4219}"/>
    <cellStyle name="20% - Accent4" xfId="4" builtinId="42" customBuiltin="1"/>
    <cellStyle name="20% - Accent4 10" xfId="2621" xr:uid="{3B246094-1720-43B5-B680-538F0B9BDA82}"/>
    <cellStyle name="20% - Accent4 11" xfId="915" xr:uid="{5A6EEF32-3650-4018-B54A-AD33BB006856}"/>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3" xfId="2309" xr:uid="{8657D0CA-0A0E-48A8-BF17-7661EF597940}"/>
    <cellStyle name="20% - Accent4 2 3 3" xfId="1817" xr:uid="{46E3803B-4A29-4307-A8A2-D69AB3EB1929}"/>
    <cellStyle name="20% - Accent4 2 3 3 2" xfId="2655" xr:uid="{4004886A-F3E3-45AE-99E6-D759C004DD92}"/>
    <cellStyle name="20% - Accent4 2 3 4" xfId="2308" xr:uid="{26963832-3F73-44E1-979B-DB77DCFAC3E8}"/>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3" xfId="2311" xr:uid="{806C6774-D6C7-4EE8-A7F9-0731C5754DE1}"/>
    <cellStyle name="20% - Accent4 3 3" xfId="1818" xr:uid="{083BC5F4-CE7C-44D6-817C-8DE06A951424}"/>
    <cellStyle name="20% - Accent4 3 3 2" xfId="2656" xr:uid="{2EAFABAD-E117-4497-87CC-74CC40D14302}"/>
    <cellStyle name="20% - Accent4 3 4" xfId="2310" xr:uid="{C49B6845-9C0F-408F-847E-7BB01040D4FD}"/>
    <cellStyle name="20% - Accent4 3 5" xfId="993" xr:uid="{DDD2C970-219F-4FC0-9272-5809ACEBDED1}"/>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3" xfId="2313" xr:uid="{78686982-BAEA-4E23-962D-280F43539678}"/>
    <cellStyle name="20% - Accent4 4 3" xfId="1816" xr:uid="{83190624-4E4D-4E40-A1C7-92888BFA02F8}"/>
    <cellStyle name="20% - Accent4 4 3 2" xfId="2654" xr:uid="{49A10E1E-DC85-408D-B63A-6065F56D789C}"/>
    <cellStyle name="20% - Accent4 4 4" xfId="2312" xr:uid="{6FCF534A-0EA9-4B7F-9F79-A333B98820D7}"/>
    <cellStyle name="20% - Accent4 4 5" xfId="995" xr:uid="{DFA5EF04-B3E9-4B5D-9F85-2930EA017724}"/>
    <cellStyle name="20% - Accent4 5" xfId="244" xr:uid="{00000000-0005-0000-0000-00001F000000}"/>
    <cellStyle name="20% - Accent4 5 2" xfId="1962" xr:uid="{ADA161F3-2D41-4676-BD2F-3E7196E94731}"/>
    <cellStyle name="20% - Accent4 5 2 2" xfId="2800" xr:uid="{2F1CB915-6CC7-44FD-951C-00B876F43780}"/>
    <cellStyle name="20% - Accent4 5 3" xfId="2314" xr:uid="{9747D78F-093D-4B47-8A38-96D7F968850B}"/>
    <cellStyle name="20% - Accent4 5 4" xfId="997" xr:uid="{3CC0B8DE-554D-4A59-8AE4-77900C732C2A}"/>
    <cellStyle name="20% - Accent4 6" xfId="293" xr:uid="{00000000-0005-0000-0000-000020000000}"/>
    <cellStyle name="20% - Accent4 6 2" xfId="2630" xr:uid="{E591D52A-CCE6-4B0B-8597-1A6DBEF752A2}"/>
    <cellStyle name="20% - Accent4 6 3" xfId="1792" xr:uid="{F940F4DD-2457-47CA-97AD-8792B5DBC7C5}"/>
    <cellStyle name="20% - Accent4 7" xfId="357" xr:uid="{00000000-0005-0000-0000-000021000000}"/>
    <cellStyle name="20% - Accent4 7 2" xfId="2975" xr:uid="{0B41D3AE-EA91-4627-B1BC-B18C40D99F8D}"/>
    <cellStyle name="20% - Accent4 7 3" xfId="2137" xr:uid="{AFA90D69-FED5-45B2-BC8B-3ABC622E7564}"/>
    <cellStyle name="20% - Accent4 8" xfId="428" xr:uid="{00000000-0005-0000-0000-000022000000}"/>
    <cellStyle name="20% - Accent4 8 2" xfId="2166" xr:uid="{279FEF06-27CB-4D4A-8DC7-721ACEEA3476}"/>
    <cellStyle name="20% - Accent4 9" xfId="532" xr:uid="{00000000-0005-0000-0000-000023000000}"/>
    <cellStyle name="20% - Accent4 9 2" xfId="2180" xr:uid="{9C5FA449-C34D-49CA-B79F-5874FCBE6CDD}"/>
    <cellStyle name="20% - Accent5" xfId="5" builtinId="46" customBuiltin="1"/>
    <cellStyle name="20% - Accent5 10" xfId="2623" xr:uid="{6838C6DB-F91B-405D-9955-F790BD8866AB}"/>
    <cellStyle name="20% - Accent5 11" xfId="955" xr:uid="{65D9CE5D-1048-4C74-92E8-52AAD66AFC95}"/>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3" xfId="2316" xr:uid="{0A18502E-91A4-4CA9-AA6A-834170908847}"/>
    <cellStyle name="20% - Accent5 2 3 3" xfId="1820" xr:uid="{56132001-12FE-43E0-A866-2099ECB6DAA4}"/>
    <cellStyle name="20% - Accent5 2 3 3 2" xfId="2658" xr:uid="{45706CF6-E31B-4035-9572-EB5647294671}"/>
    <cellStyle name="20% - Accent5 2 3 4" xfId="2315" xr:uid="{EAF24546-C969-44E0-B446-36ACA632C60B}"/>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3" xfId="2318" xr:uid="{ECEEC8EF-F888-4F3D-A6EF-6D8436AAAEA3}"/>
    <cellStyle name="20% - Accent5 3 3" xfId="1821" xr:uid="{AD14CF76-C82F-48DF-BF54-C960C90F9C84}"/>
    <cellStyle name="20% - Accent5 3 3 2" xfId="2659" xr:uid="{53B9054F-287D-4ED0-A13F-5533116E6542}"/>
    <cellStyle name="20% - Accent5 3 4" xfId="2317" xr:uid="{FF60A855-3B8A-4019-9058-ED5FAF5861E8}"/>
    <cellStyle name="20% - Accent5 3 5" xfId="1002" xr:uid="{66A87533-90B6-4B1A-B0E5-C9B470CD23B3}"/>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3" xfId="2320" xr:uid="{29086845-2772-429E-9818-D7E62C0C192B}"/>
    <cellStyle name="20% - Accent5 4 3" xfId="1819" xr:uid="{6821BDDF-2075-48EF-91B5-8E552E9AE38D}"/>
    <cellStyle name="20% - Accent5 4 3 2" xfId="2657" xr:uid="{13EF4B57-3E05-4E81-ACD7-C490BEC58E3F}"/>
    <cellStyle name="20% - Accent5 4 4" xfId="2319" xr:uid="{7879E237-7FC4-4E34-8CEB-AC4398F530CB}"/>
    <cellStyle name="20% - Accent5 4 5" xfId="1004" xr:uid="{1899A785-A684-45DA-AE71-1FD9C1F733EA}"/>
    <cellStyle name="20% - Accent5 5" xfId="245" xr:uid="{00000000-0005-0000-0000-000028000000}"/>
    <cellStyle name="20% - Accent5 5 2" xfId="1963" xr:uid="{D8B730FA-47E5-4692-90C1-F0F8DBD24AA6}"/>
    <cellStyle name="20% - Accent5 5 2 2" xfId="2801" xr:uid="{C9A74226-BC2B-440C-846F-873E586DC660}"/>
    <cellStyle name="20% - Accent5 5 3" xfId="2321" xr:uid="{1AA93757-A072-4EA9-AC5D-F4084391F2BE}"/>
    <cellStyle name="20% - Accent5 5 4" xfId="1006" xr:uid="{371A469F-AC47-4255-A777-DC99FF1E267C}"/>
    <cellStyle name="20% - Accent5 6" xfId="294" xr:uid="{00000000-0005-0000-0000-000029000000}"/>
    <cellStyle name="20% - Accent5 6 2" xfId="2631" xr:uid="{78177C13-B088-4043-8BE7-9473C983F540}"/>
    <cellStyle name="20% - Accent5 6 3" xfId="1793" xr:uid="{D5581B2D-3A53-4D15-B3E3-5833254AF209}"/>
    <cellStyle name="20% - Accent5 7" xfId="358" xr:uid="{00000000-0005-0000-0000-00002A000000}"/>
    <cellStyle name="20% - Accent5 7 2" xfId="2977" xr:uid="{7EFC81BD-072A-4105-A587-0039157F90AD}"/>
    <cellStyle name="20% - Accent5 7 3" xfId="2139" xr:uid="{F83AD71D-90F4-43AB-AF68-AA61A396CEBF}"/>
    <cellStyle name="20% - Accent5 8" xfId="429" xr:uid="{00000000-0005-0000-0000-00002B000000}"/>
    <cellStyle name="20% - Accent5 8 2" xfId="2168" xr:uid="{79F8541E-4003-4E4A-8FB0-75B183F81C6D}"/>
    <cellStyle name="20% - Accent5 9" xfId="533" xr:uid="{00000000-0005-0000-0000-00002C000000}"/>
    <cellStyle name="20% - Accent5 9 2" xfId="2182" xr:uid="{AFC5FC3C-446B-4FFD-BD2F-2CA2F2885C3E}"/>
    <cellStyle name="20% - Accent6" xfId="6" builtinId="50" customBuiltin="1"/>
    <cellStyle name="20% - Accent6 10" xfId="2625" xr:uid="{139A38CA-48A4-420F-A66C-C60413E459E3}"/>
    <cellStyle name="20% - Accent6 11" xfId="958" xr:uid="{B196BEDD-6B0C-4E1B-87E6-F4BD78EECC60}"/>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3" xfId="2323" xr:uid="{37B0D38D-241E-4FD5-9913-741F562B68BD}"/>
    <cellStyle name="20% - Accent6 2 3 3" xfId="1823" xr:uid="{DE964CA4-EFEA-4507-B351-4BC01D0B1A19}"/>
    <cellStyle name="20% - Accent6 2 3 3 2" xfId="2661" xr:uid="{6773F93F-E0A5-46F6-BE89-C126DBA3A359}"/>
    <cellStyle name="20% - Accent6 2 3 4" xfId="2322" xr:uid="{8B9AC681-C74B-49D8-B5DF-8951548AEDDF}"/>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3" xfId="2325" xr:uid="{969F23C2-3B2F-4F92-96BA-B58367C225A6}"/>
    <cellStyle name="20% - Accent6 3 3" xfId="1824" xr:uid="{EA9F2BF0-7637-430B-A65A-B6B2AB02AE85}"/>
    <cellStyle name="20% - Accent6 3 3 2" xfId="2662" xr:uid="{3A61757D-1082-4B74-8AC7-9DEC567E744A}"/>
    <cellStyle name="20% - Accent6 3 4" xfId="2324" xr:uid="{FC852339-ADB8-4F5E-A0CD-97DB78B76527}"/>
    <cellStyle name="20% - Accent6 3 5" xfId="1011" xr:uid="{949DA3A4-504F-499F-951E-89B06CD75A3B}"/>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3" xfId="2327" xr:uid="{5028CC10-8F79-42F4-AA4F-14F8812C8659}"/>
    <cellStyle name="20% - Accent6 4 3" xfId="1822" xr:uid="{4E34EB62-5440-42DD-8BB2-B6A5B5AA818A}"/>
    <cellStyle name="20% - Accent6 4 3 2" xfId="2660" xr:uid="{DA677DDD-626D-4ABD-9AD8-40C33D5EA3D7}"/>
    <cellStyle name="20% - Accent6 4 4" xfId="2326" xr:uid="{9F4BA4ED-C76C-40B3-A529-40F93C5044D5}"/>
    <cellStyle name="20% - Accent6 4 5" xfId="1013" xr:uid="{9835A1A3-582B-4CC5-BEB3-3F9F0E66E2FC}"/>
    <cellStyle name="20% - Accent6 5" xfId="246" xr:uid="{00000000-0005-0000-0000-000031000000}"/>
    <cellStyle name="20% - Accent6 5 2" xfId="1964" xr:uid="{C4A807BD-1441-4A64-B357-61DF14CEDC7F}"/>
    <cellStyle name="20% - Accent6 5 2 2" xfId="2802" xr:uid="{806E15D8-A54D-4A6E-9772-D01A7672815B}"/>
    <cellStyle name="20% - Accent6 5 3" xfId="2328" xr:uid="{0621E947-548F-4EE2-99F6-CCF6F1B65603}"/>
    <cellStyle name="20% - Accent6 5 4" xfId="1015" xr:uid="{4621D1A5-CB6A-48BB-8500-CA57A2AD7313}"/>
    <cellStyle name="20% - Accent6 6" xfId="295" xr:uid="{00000000-0005-0000-0000-000032000000}"/>
    <cellStyle name="20% - Accent6 6 2" xfId="2632" xr:uid="{22D31A18-E558-42D0-8E06-9901EE55CA19}"/>
    <cellStyle name="20% - Accent6 6 3" xfId="1794" xr:uid="{E6EBB1C7-654C-4277-89B4-491E8CD6B2C3}"/>
    <cellStyle name="20% - Accent6 7" xfId="359" xr:uid="{00000000-0005-0000-0000-000033000000}"/>
    <cellStyle name="20% - Accent6 7 2" xfId="2979" xr:uid="{1D4239AF-0E88-411D-B0C6-31687C78CA14}"/>
    <cellStyle name="20% - Accent6 7 3" xfId="2141" xr:uid="{451580E6-A980-4075-9D43-10BF72B6A4CC}"/>
    <cellStyle name="20% - Accent6 8" xfId="430" xr:uid="{00000000-0005-0000-0000-000034000000}"/>
    <cellStyle name="20% - Accent6 8 2" xfId="2170" xr:uid="{9F0149A4-331C-43E7-A5AD-DBED7B7EDFB2}"/>
    <cellStyle name="20% - Accent6 9" xfId="534" xr:uid="{00000000-0005-0000-0000-000035000000}"/>
    <cellStyle name="20% - Accent6 9 2" xfId="2184" xr:uid="{B0835F1C-8ADD-4FC2-956F-2355BE589A25}"/>
    <cellStyle name="40% - Accent1" xfId="7" builtinId="31" customBuiltin="1"/>
    <cellStyle name="40% - Accent1 10" xfId="2616" xr:uid="{8DCF070A-6C11-487D-BFBD-3D35B39B9F92}"/>
    <cellStyle name="40% - Accent1 11" xfId="944" xr:uid="{46097E77-5F1A-4B07-AE71-FAFFE50481D3}"/>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3" xfId="2330" xr:uid="{55C66B1D-61A6-42B8-BB57-CB269C402D79}"/>
    <cellStyle name="40% - Accent1 2 3 3" xfId="1826" xr:uid="{B9432942-8463-453B-8802-AA2CDBDB5784}"/>
    <cellStyle name="40% - Accent1 2 3 3 2" xfId="2664" xr:uid="{D7FC95AD-F906-4945-980F-972E3AC29BFF}"/>
    <cellStyle name="40% - Accent1 2 3 4" xfId="2329" xr:uid="{3FBA806A-E593-477C-A3AD-B2E19FDD9E5E}"/>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3" xfId="2332" xr:uid="{7818673E-111F-4712-8F55-9203627E9E64}"/>
    <cellStyle name="40% - Accent1 3 3" xfId="1827" xr:uid="{12EAA968-45E3-4A12-AAFC-A166182F278F}"/>
    <cellStyle name="40% - Accent1 3 3 2" xfId="2665" xr:uid="{C78DA72A-A91C-423D-A85C-FE7612BFD611}"/>
    <cellStyle name="40% - Accent1 3 4" xfId="2331" xr:uid="{6E5D48A6-D5C8-43AA-9B31-772799AB031B}"/>
    <cellStyle name="40% - Accent1 3 5" xfId="1020" xr:uid="{FF522930-8B14-4E28-8E4A-BB5ED8305E8E}"/>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3" xfId="2334" xr:uid="{42B24712-EF83-4749-8AB1-3FB5AAC83AA2}"/>
    <cellStyle name="40% - Accent1 4 3" xfId="1825" xr:uid="{4D5FCDA6-F22E-4E53-BAB4-3D2999636ED7}"/>
    <cellStyle name="40% - Accent1 4 3 2" xfId="2663" xr:uid="{6831E5E7-98ED-4212-814C-282CF515E354}"/>
    <cellStyle name="40% - Accent1 4 4" xfId="2333" xr:uid="{92A1FEFF-F629-41EC-B43C-36C71232A3E0}"/>
    <cellStyle name="40% - Accent1 4 5" xfId="1022" xr:uid="{A22BB37C-CB2B-478D-807B-8FE7BF86C5E7}"/>
    <cellStyle name="40% - Accent1 5" xfId="247" xr:uid="{00000000-0005-0000-0000-00003A000000}"/>
    <cellStyle name="40% - Accent1 5 2" xfId="1965" xr:uid="{58C80BFF-42C7-4126-BAA6-119CEBA75570}"/>
    <cellStyle name="40% - Accent1 5 2 2" xfId="2803" xr:uid="{DF6CD9D2-F7E2-475C-8B4F-015AA8A4DA14}"/>
    <cellStyle name="40% - Accent1 5 3" xfId="2335" xr:uid="{0C00D2A3-64B5-4CCF-9C89-79857C6CF382}"/>
    <cellStyle name="40% - Accent1 5 4" xfId="1024" xr:uid="{1DA25C8A-EFCF-4CD2-A4CB-0EFAB4A69DC5}"/>
    <cellStyle name="40% - Accent1 6" xfId="296" xr:uid="{00000000-0005-0000-0000-00003B000000}"/>
    <cellStyle name="40% - Accent1 6 2" xfId="2633" xr:uid="{D952AC11-1B1F-42FD-975A-1AD990526C1B}"/>
    <cellStyle name="40% - Accent1 6 3" xfId="1795" xr:uid="{56E05594-FA1E-4647-B277-307FDA961CF2}"/>
    <cellStyle name="40% - Accent1 7" xfId="360" xr:uid="{00000000-0005-0000-0000-00003C000000}"/>
    <cellStyle name="40% - Accent1 7 2" xfId="2970" xr:uid="{336063C9-E1F0-4D0B-8A93-DDEE942B6C77}"/>
    <cellStyle name="40% - Accent1 7 3" xfId="2132" xr:uid="{9A52F3B6-521F-40F9-9248-D65415BD5E99}"/>
    <cellStyle name="40% - Accent1 8" xfId="431" xr:uid="{00000000-0005-0000-0000-00003D000000}"/>
    <cellStyle name="40% - Accent1 8 2" xfId="2161" xr:uid="{446425C6-AD67-4B85-92C7-39C2BF478FD3}"/>
    <cellStyle name="40% - Accent1 9" xfId="535" xr:uid="{00000000-0005-0000-0000-00003E000000}"/>
    <cellStyle name="40% - Accent1 9 2" xfId="2175" xr:uid="{4A54814F-EC79-4125-A046-4E0F4D9EF67B}"/>
    <cellStyle name="40% - Accent2" xfId="8" builtinId="35" customBuiltin="1"/>
    <cellStyle name="40% - Accent2 10" xfId="2618" xr:uid="{4ED8CBBC-0D55-4F26-B119-846424F4CA95}"/>
    <cellStyle name="40% - Accent2 11" xfId="893" xr:uid="{D6CC90F6-0DF7-49B8-A513-9DD4961A0502}"/>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3" xfId="2337" xr:uid="{FDDC75C2-50C9-48D5-91C8-FB9B4F8BB5BF}"/>
    <cellStyle name="40% - Accent2 2 3 3" xfId="1829" xr:uid="{CE441B61-9CA3-42A6-9CF0-09C2530BD27E}"/>
    <cellStyle name="40% - Accent2 2 3 3 2" xfId="2667" xr:uid="{E9789472-8691-4150-B608-79D41C1601FE}"/>
    <cellStyle name="40% - Accent2 2 3 4" xfId="2336" xr:uid="{F0DE6004-854A-42D2-8D1E-14BAD10469BC}"/>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3" xfId="2339" xr:uid="{358ACF96-D8BB-426E-9EF4-7C19C5E69CBB}"/>
    <cellStyle name="40% - Accent2 3 3" xfId="1830" xr:uid="{8FAF9D24-EACF-4860-9C7E-45EA276D9B71}"/>
    <cellStyle name="40% - Accent2 3 3 2" xfId="2668" xr:uid="{9B7490B5-40BB-446A-8CB6-D30DBA58E466}"/>
    <cellStyle name="40% - Accent2 3 4" xfId="2338" xr:uid="{3629ABE5-6672-4DFD-8EA0-15587EA23525}"/>
    <cellStyle name="40% - Accent2 3 5" xfId="1029" xr:uid="{3B09D580-820C-49FB-81A3-01EFBA75B48F}"/>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3" xfId="2341" xr:uid="{B39BC855-4F75-40C9-B574-7E5834953957}"/>
    <cellStyle name="40% - Accent2 4 3" xfId="1828" xr:uid="{D2E37A67-86B6-4258-8CF7-3FBD20E638BF}"/>
    <cellStyle name="40% - Accent2 4 3 2" xfId="2666" xr:uid="{253A0C2D-EB5A-47C9-936E-4EAAD8078C74}"/>
    <cellStyle name="40% - Accent2 4 4" xfId="2340" xr:uid="{2B579A92-8853-4B2D-A889-742FAADED4CE}"/>
    <cellStyle name="40% - Accent2 4 5" xfId="1031" xr:uid="{0E944379-D451-43BF-BF64-4870F4FAEEF1}"/>
    <cellStyle name="40% - Accent2 5" xfId="248" xr:uid="{00000000-0005-0000-0000-000043000000}"/>
    <cellStyle name="40% - Accent2 5 2" xfId="1966" xr:uid="{F4E17101-50B3-41ED-BB4D-641C96D86CED}"/>
    <cellStyle name="40% - Accent2 5 2 2" xfId="2804" xr:uid="{57F9DBBA-BECF-48E1-8CC2-5F1149710052}"/>
    <cellStyle name="40% - Accent2 5 3" xfId="2342" xr:uid="{204C8AEF-F453-46A4-98E9-999A1C6C5EF7}"/>
    <cellStyle name="40% - Accent2 5 4" xfId="1033" xr:uid="{BCC49285-3421-4C7C-80B3-0ED30D6AABD8}"/>
    <cellStyle name="40% - Accent2 6" xfId="297" xr:uid="{00000000-0005-0000-0000-000044000000}"/>
    <cellStyle name="40% - Accent2 6 2" xfId="2634" xr:uid="{85F7B6F5-D95E-4D94-82BB-E7D0DA33D648}"/>
    <cellStyle name="40% - Accent2 6 3" xfId="1796" xr:uid="{E15BB069-C0DC-4BC4-95EB-E54BF7CD2FBA}"/>
    <cellStyle name="40% - Accent2 7" xfId="361" xr:uid="{00000000-0005-0000-0000-000045000000}"/>
    <cellStyle name="40% - Accent2 7 2" xfId="2972" xr:uid="{E6E563E8-0CBF-4BBC-ACC2-A09A31F533A9}"/>
    <cellStyle name="40% - Accent2 7 3" xfId="2134" xr:uid="{C1422F2F-CEE7-4A3C-99AC-C1E5168BBFFF}"/>
    <cellStyle name="40% - Accent2 8" xfId="432" xr:uid="{00000000-0005-0000-0000-000046000000}"/>
    <cellStyle name="40% - Accent2 8 2" xfId="2163" xr:uid="{C9041BBB-5899-4B75-83E2-84C6BC5BA982}"/>
    <cellStyle name="40% - Accent2 9" xfId="536" xr:uid="{00000000-0005-0000-0000-000047000000}"/>
    <cellStyle name="40% - Accent2 9 2" xfId="2177" xr:uid="{21DC29D4-E009-49F0-8C87-AB9B553F1698}"/>
    <cellStyle name="40% - Accent3" xfId="9" builtinId="39" customBuiltin="1"/>
    <cellStyle name="40% - Accent3 10" xfId="2620" xr:uid="{D03705F1-283D-4103-9DF2-44F8014E5DF1}"/>
    <cellStyle name="40% - Accent3 11" xfId="894" xr:uid="{BEB4EAE7-F034-4700-B2F3-ED68D2F135C6}"/>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3" xfId="2344" xr:uid="{F8E39E6D-0DBF-45A4-AF43-CDBEE7638C0F}"/>
    <cellStyle name="40% - Accent3 2 3 3" xfId="1832" xr:uid="{55082156-81C0-4F26-A75D-1E29F3B5C755}"/>
    <cellStyle name="40% - Accent3 2 3 3 2" xfId="2670" xr:uid="{F2C5545B-687B-4D58-AD4F-EF8346D9470F}"/>
    <cellStyle name="40% - Accent3 2 3 4" xfId="2343" xr:uid="{3D0B2A48-1D5B-4EB2-A0F8-5D5941A31C71}"/>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3" xfId="2346" xr:uid="{48C9B6CC-9987-4A3B-99B7-95E7FBB006DB}"/>
    <cellStyle name="40% - Accent3 3 3" xfId="1833" xr:uid="{BE366B6A-1996-41E1-B78B-72CB0D0BA5E7}"/>
    <cellStyle name="40% - Accent3 3 3 2" xfId="2671" xr:uid="{7415228F-059D-4799-AC19-08EDF39B9B03}"/>
    <cellStyle name="40% - Accent3 3 4" xfId="2345" xr:uid="{B7D69C59-D338-4C6F-8D7D-127038B27552}"/>
    <cellStyle name="40% - Accent3 3 5" xfId="1038" xr:uid="{12D06056-74D5-46A2-A626-D19A80418A6E}"/>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3" xfId="2348" xr:uid="{0E927B08-B40B-4E3A-90BD-3749085F3694}"/>
    <cellStyle name="40% - Accent3 4 3" xfId="1831" xr:uid="{5F5418D4-8788-46D2-92F8-16A37417670A}"/>
    <cellStyle name="40% - Accent3 4 3 2" xfId="2669" xr:uid="{ED4CAA7C-14F0-4B84-B447-0541164181E4}"/>
    <cellStyle name="40% - Accent3 4 4" xfId="2347" xr:uid="{063EFA8E-DEDB-4B3E-B889-C26731A4688C}"/>
    <cellStyle name="40% - Accent3 4 5" xfId="1040" xr:uid="{F43464E9-CC0D-4003-93DE-6B26DEEB3C4C}"/>
    <cellStyle name="40% - Accent3 5" xfId="249" xr:uid="{00000000-0005-0000-0000-00004C000000}"/>
    <cellStyle name="40% - Accent3 5 2" xfId="1967" xr:uid="{5717DCE0-A95D-478B-80E6-CDBC54F62C66}"/>
    <cellStyle name="40% - Accent3 5 2 2" xfId="2805" xr:uid="{2D4CE687-B75B-48CA-8FF4-F33E7BAA443B}"/>
    <cellStyle name="40% - Accent3 5 3" xfId="2349" xr:uid="{3F121369-597C-4A67-AA71-41EEF23B1591}"/>
    <cellStyle name="40% - Accent3 5 4" xfId="1042" xr:uid="{30F462C0-1140-4C1D-8578-82CD0FB224D9}"/>
    <cellStyle name="40% - Accent3 6" xfId="298" xr:uid="{00000000-0005-0000-0000-00004D000000}"/>
    <cellStyle name="40% - Accent3 6 2" xfId="2635" xr:uid="{85BC891B-CA1C-44DE-AA8C-D00C12FB90A8}"/>
    <cellStyle name="40% - Accent3 6 3" xfId="1797" xr:uid="{900D2738-B04F-407A-9F79-151B4674F5DC}"/>
    <cellStyle name="40% - Accent3 7" xfId="362" xr:uid="{00000000-0005-0000-0000-00004E000000}"/>
    <cellStyle name="40% - Accent3 7 2" xfId="2974" xr:uid="{745B1B20-FEF6-4C5E-B17F-61AC42180B1A}"/>
    <cellStyle name="40% - Accent3 7 3" xfId="2136" xr:uid="{4677B899-388B-4AD1-98BB-6ABB7E834ACA}"/>
    <cellStyle name="40% - Accent3 8" xfId="433" xr:uid="{00000000-0005-0000-0000-00004F000000}"/>
    <cellStyle name="40% - Accent3 8 2" xfId="2165" xr:uid="{2B3A52B2-2B2F-4EBE-AF86-C04A005C7AC3}"/>
    <cellStyle name="40% - Accent3 9" xfId="537" xr:uid="{00000000-0005-0000-0000-000050000000}"/>
    <cellStyle name="40% - Accent3 9 2" xfId="2179" xr:uid="{73225AB0-2279-47EC-A712-98904FB9D3EF}"/>
    <cellStyle name="40% - Accent4" xfId="10" builtinId="43" customBuiltin="1"/>
    <cellStyle name="40% - Accent4 10" xfId="2622" xr:uid="{0E144FDE-7340-4A8F-BA04-96915B70C42A}"/>
    <cellStyle name="40% - Accent4 11" xfId="914" xr:uid="{44800666-2691-4C94-8A77-A6BFD5C031CE}"/>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3" xfId="2351" xr:uid="{20B42E8B-45BF-4C32-93D4-D47AC122F1B6}"/>
    <cellStyle name="40% - Accent4 2 3 3" xfId="1835" xr:uid="{33BF445D-21AB-40A7-A8FE-277878DFD9D4}"/>
    <cellStyle name="40% - Accent4 2 3 3 2" xfId="2673" xr:uid="{9BD9C329-EC2A-4711-BFDB-91D5FA9DFCA6}"/>
    <cellStyle name="40% - Accent4 2 3 4" xfId="2350" xr:uid="{AB21A8CC-0921-440E-B973-E650883CC1A5}"/>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3" xfId="2353" xr:uid="{1C6B5577-30F2-40D3-8E64-0E872E02C582}"/>
    <cellStyle name="40% - Accent4 3 3" xfId="1836" xr:uid="{F761AF9A-854B-4358-9DFC-1DE5E15504EE}"/>
    <cellStyle name="40% - Accent4 3 3 2" xfId="2674" xr:uid="{ACFCFE2A-51F8-4F24-A300-C64969F78A3D}"/>
    <cellStyle name="40% - Accent4 3 4" xfId="2352" xr:uid="{13B731E0-8F58-4D7A-B48D-7068F8F65D09}"/>
    <cellStyle name="40% - Accent4 3 5" xfId="1047" xr:uid="{CFBCF4D9-47BA-4733-B24B-762F3DBA7406}"/>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3" xfId="2355" xr:uid="{BA3A3A70-DCAF-4905-9790-DFDA4C4BB1C8}"/>
    <cellStyle name="40% - Accent4 4 3" xfId="1834" xr:uid="{2FB7EF63-94F1-4365-AFA6-65FC2EA7D67A}"/>
    <cellStyle name="40% - Accent4 4 3 2" xfId="2672" xr:uid="{C127E980-437A-4299-BCDE-DD27759CF322}"/>
    <cellStyle name="40% - Accent4 4 4" xfId="2354" xr:uid="{082FCE4E-07D6-46D5-9DDA-EE48BC21EB7A}"/>
    <cellStyle name="40% - Accent4 4 5" xfId="1049" xr:uid="{5B05DD0E-D171-4716-8953-DEF3389EFDFB}"/>
    <cellStyle name="40% - Accent4 5" xfId="250" xr:uid="{00000000-0005-0000-0000-000055000000}"/>
    <cellStyle name="40% - Accent4 5 2" xfId="1968" xr:uid="{BD4237AB-1704-44EF-97FE-47480B509987}"/>
    <cellStyle name="40% - Accent4 5 2 2" xfId="2806" xr:uid="{14417774-31F1-42C2-8495-AFA881A73460}"/>
    <cellStyle name="40% - Accent4 5 3" xfId="2356" xr:uid="{3D97A6D3-BE80-46DC-ABA3-805650CA40B1}"/>
    <cellStyle name="40% - Accent4 5 4" xfId="1051" xr:uid="{7FED6131-7C86-4745-B80B-08B5E0095669}"/>
    <cellStyle name="40% - Accent4 6" xfId="299" xr:uid="{00000000-0005-0000-0000-000056000000}"/>
    <cellStyle name="40% - Accent4 6 2" xfId="2636" xr:uid="{5D8D53BD-BB9C-43CC-971F-19E983D06462}"/>
    <cellStyle name="40% - Accent4 6 3" xfId="1798" xr:uid="{05F174E9-B5C4-4ED8-80AB-6B711C1713E4}"/>
    <cellStyle name="40% - Accent4 7" xfId="363" xr:uid="{00000000-0005-0000-0000-000057000000}"/>
    <cellStyle name="40% - Accent4 7 2" xfId="2976" xr:uid="{40FFA76D-0188-4CAC-AA54-D03A58C9BD8D}"/>
    <cellStyle name="40% - Accent4 7 3" xfId="2138" xr:uid="{6E0875B5-5060-44A8-83FF-53F8EA965182}"/>
    <cellStyle name="40% - Accent4 8" xfId="434" xr:uid="{00000000-0005-0000-0000-000058000000}"/>
    <cellStyle name="40% - Accent4 8 2" xfId="2167" xr:uid="{C07DF2F1-D637-4040-88B1-44F9BF5A4813}"/>
    <cellStyle name="40% - Accent4 9" xfId="538" xr:uid="{00000000-0005-0000-0000-000059000000}"/>
    <cellStyle name="40% - Accent4 9 2" xfId="2181" xr:uid="{272F4A23-11DA-482D-B721-81F1FE611EE5}"/>
    <cellStyle name="40% - Accent5" xfId="11" builtinId="47" customBuiltin="1"/>
    <cellStyle name="40% - Accent5 10" xfId="2624" xr:uid="{BEA96B51-3F59-4ACC-959B-EFCE2376E587}"/>
    <cellStyle name="40% - Accent5 11" xfId="956" xr:uid="{F7B0C202-3EB2-4AAD-BCAF-EEF1A4C74832}"/>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3" xfId="2358" xr:uid="{54A7B384-C74A-4E57-BE1A-4061D975B71D}"/>
    <cellStyle name="40% - Accent5 2 3 3" xfId="1838" xr:uid="{FB789F49-DAA1-4471-A7F3-E3E51C96C97F}"/>
    <cellStyle name="40% - Accent5 2 3 3 2" xfId="2676" xr:uid="{C647C14E-1FDC-4FF2-ACFA-073B54DA9319}"/>
    <cellStyle name="40% - Accent5 2 3 4" xfId="2357" xr:uid="{777EEF74-297F-47F9-985C-E3D294AE7332}"/>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3" xfId="2360" xr:uid="{6142FD7C-5281-4458-AE22-B29F1DAC8298}"/>
    <cellStyle name="40% - Accent5 3 3" xfId="1839" xr:uid="{64D0CD8D-6ACD-437A-A73B-3C52C1717C15}"/>
    <cellStyle name="40% - Accent5 3 3 2" xfId="2677" xr:uid="{7E1A2875-F160-4407-81A0-383408601322}"/>
    <cellStyle name="40% - Accent5 3 4" xfId="2359" xr:uid="{1560B020-90C1-44AB-BD98-6A4B0498711C}"/>
    <cellStyle name="40% - Accent5 3 5" xfId="1056" xr:uid="{9D8EABC5-349B-49FA-A42B-26EFBC12E179}"/>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3" xfId="2362" xr:uid="{68C43C60-7370-40F5-81B3-6E417044ED6F}"/>
    <cellStyle name="40% - Accent5 4 3" xfId="1837" xr:uid="{A78D0F56-CFE0-43B9-BA42-C23FA85EB63C}"/>
    <cellStyle name="40% - Accent5 4 3 2" xfId="2675" xr:uid="{55A9E2BD-7ADC-43D7-904F-FF2821E26A53}"/>
    <cellStyle name="40% - Accent5 4 4" xfId="2361" xr:uid="{8677EBAD-EAA3-4494-8AFC-03E0F2E7B1E0}"/>
    <cellStyle name="40% - Accent5 4 5" xfId="1058" xr:uid="{8430CDCE-E50B-483D-A8C7-7C7A4F032391}"/>
    <cellStyle name="40% - Accent5 5" xfId="251" xr:uid="{00000000-0005-0000-0000-00005E000000}"/>
    <cellStyle name="40% - Accent5 5 2" xfId="1969" xr:uid="{1F93E9D8-DD19-4BA6-BF40-41F52D9B54B4}"/>
    <cellStyle name="40% - Accent5 5 2 2" xfId="2807" xr:uid="{62CC4DAC-8412-4A8E-AC09-D2D593B3EAB2}"/>
    <cellStyle name="40% - Accent5 5 3" xfId="2363" xr:uid="{C4D318D2-1E9A-402C-88ED-94D42B4AB7B6}"/>
    <cellStyle name="40% - Accent5 5 4" xfId="1060" xr:uid="{348B5C0E-3CCA-496E-8DA9-B08D08888DD9}"/>
    <cellStyle name="40% - Accent5 6" xfId="300" xr:uid="{00000000-0005-0000-0000-00005F000000}"/>
    <cellStyle name="40% - Accent5 6 2" xfId="2637" xr:uid="{7C03BFD5-7850-43FE-A022-49BE0D2012BC}"/>
    <cellStyle name="40% - Accent5 6 3" xfId="1799" xr:uid="{F0680BF5-692E-4BC7-B24A-8A365AB75533}"/>
    <cellStyle name="40% - Accent5 7" xfId="364" xr:uid="{00000000-0005-0000-0000-000060000000}"/>
    <cellStyle name="40% - Accent5 7 2" xfId="2978" xr:uid="{B82E5AC5-3CA2-4207-AB30-C4E3375643A7}"/>
    <cellStyle name="40% - Accent5 7 3" xfId="2140" xr:uid="{36E357C2-0B9D-4C09-8A6C-85794ED33B2C}"/>
    <cellStyle name="40% - Accent5 8" xfId="435" xr:uid="{00000000-0005-0000-0000-000061000000}"/>
    <cellStyle name="40% - Accent5 8 2" xfId="2169" xr:uid="{2A822548-C23F-4116-88BB-FC8458188FB6}"/>
    <cellStyle name="40% - Accent5 9" xfId="539" xr:uid="{00000000-0005-0000-0000-000062000000}"/>
    <cellStyle name="40% - Accent5 9 2" xfId="2183" xr:uid="{645737B1-ACB4-4801-9970-DE5D4002227B}"/>
    <cellStyle name="40% - Accent6" xfId="12" builtinId="51" customBuiltin="1"/>
    <cellStyle name="40% - Accent6 10" xfId="2626" xr:uid="{C21A98BD-1103-471F-9430-20648CE90C44}"/>
    <cellStyle name="40% - Accent6 11" xfId="980" xr:uid="{D230E761-E665-4AB1-860D-06F98F9B84BA}"/>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3" xfId="2365" xr:uid="{5A72E1EC-A89C-47A7-B5AB-21CBDE13B2F3}"/>
    <cellStyle name="40% - Accent6 2 3 3" xfId="1841" xr:uid="{0CECA3A3-4CA0-4015-8841-3394A6D58BC0}"/>
    <cellStyle name="40% - Accent6 2 3 3 2" xfId="2679" xr:uid="{99C30B72-3379-41CD-B03F-1298368562A1}"/>
    <cellStyle name="40% - Accent6 2 3 4" xfId="2364" xr:uid="{A03762CE-09A9-453B-AD40-F25C46C6258C}"/>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3" xfId="2367" xr:uid="{43768B4C-6BBC-4F12-AFCD-0D5825128366}"/>
    <cellStyle name="40% - Accent6 3 3" xfId="1842" xr:uid="{F92505F3-4309-4D1B-A5B9-936236423FAB}"/>
    <cellStyle name="40% - Accent6 3 3 2" xfId="2680" xr:uid="{4F2BD282-906B-444E-A3DF-E0BBA83A93D9}"/>
    <cellStyle name="40% - Accent6 3 4" xfId="2366" xr:uid="{FC24BB0B-C46F-489F-B9FF-BBDC9976A213}"/>
    <cellStyle name="40% - Accent6 3 5" xfId="1065" xr:uid="{72C004D4-F533-453E-92A8-064553DEEF7D}"/>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3" xfId="2369" xr:uid="{17B98110-C695-4C47-8B88-F6C94E285DCA}"/>
    <cellStyle name="40% - Accent6 4 3" xfId="1840" xr:uid="{C065FD5D-40AD-43F0-A448-10EC331687CB}"/>
    <cellStyle name="40% - Accent6 4 3 2" xfId="2678" xr:uid="{40921068-5F1E-416F-9B84-2BAFE9851948}"/>
    <cellStyle name="40% - Accent6 4 4" xfId="2368" xr:uid="{F482FFD0-88C6-4E87-8165-D1C894D588B8}"/>
    <cellStyle name="40% - Accent6 4 5" xfId="1067" xr:uid="{6A5E99AF-4B74-46B7-81A9-1CE55B37A1BA}"/>
    <cellStyle name="40% - Accent6 5" xfId="252" xr:uid="{00000000-0005-0000-0000-000067000000}"/>
    <cellStyle name="40% - Accent6 5 2" xfId="1970" xr:uid="{6DB890FB-0E61-4307-B183-2B16FEDF29DA}"/>
    <cellStyle name="40% - Accent6 5 2 2" xfId="2808" xr:uid="{FD7C7E97-8200-41B8-83ED-88790EDC0B32}"/>
    <cellStyle name="40% - Accent6 5 3" xfId="2370" xr:uid="{513DC4F4-8205-4022-B47F-78A8636EDDEF}"/>
    <cellStyle name="40% - Accent6 5 4" xfId="1069" xr:uid="{74B0F5AD-BFB2-4197-A6B4-BFE473A85D0B}"/>
    <cellStyle name="40% - Accent6 6" xfId="301" xr:uid="{00000000-0005-0000-0000-000068000000}"/>
    <cellStyle name="40% - Accent6 6 2" xfId="2638" xr:uid="{05CC4D4F-565F-4911-A520-1097A66A7B0F}"/>
    <cellStyle name="40% - Accent6 6 3" xfId="1800" xr:uid="{9F77B020-F03A-494A-BF77-5BA0AB3FBEF1}"/>
    <cellStyle name="40% - Accent6 7" xfId="365" xr:uid="{00000000-0005-0000-0000-000069000000}"/>
    <cellStyle name="40% - Accent6 7 2" xfId="2980" xr:uid="{CEFBAA50-B1DC-4787-AADA-BA301D75093C}"/>
    <cellStyle name="40% - Accent6 7 3" xfId="2142" xr:uid="{C17B9AC1-103A-4DE1-A527-F4B906BDF9FB}"/>
    <cellStyle name="40% - Accent6 8" xfId="436" xr:uid="{00000000-0005-0000-0000-00006A000000}"/>
    <cellStyle name="40% - Accent6 8 2" xfId="2171" xr:uid="{14E1C59F-A3F4-4EEB-9C7A-BCC606A57B70}"/>
    <cellStyle name="40% - Accent6 9" xfId="540" xr:uid="{00000000-0005-0000-0000-00006B000000}"/>
    <cellStyle name="40% - Accent6 9 2" xfId="2185" xr:uid="{5E2EF2E5-F833-4108-8384-8DCC5EEB89F6}"/>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2" xfId="174" xr:uid="{00000000-0005-0000-0000-0000E7000000}"/>
    <cellStyle name="Calculation 2 2" xfId="1143" xr:uid="{469FD491-EEDC-44CD-84EC-E8450110DEA4}"/>
    <cellStyle name="Calculation 2 2 2" xfId="3290" xr:uid="{8BDD3A74-61AF-4953-A27F-5B32B532D884}"/>
    <cellStyle name="Calculation 2 2 3" xfId="3141" xr:uid="{7896FD04-59FB-4E13-87C9-01D48FFC6D3E}"/>
    <cellStyle name="Calculation 2 3" xfId="3107" xr:uid="{B26FC16B-DE57-4E49-BE54-CD8B90EF129B}"/>
    <cellStyle name="Calculation 2 4" xfId="3294" xr:uid="{87E32EE9-651C-4737-A334-2CA799505CC5}"/>
    <cellStyle name="Calculation 2 5" xfId="1142" xr:uid="{CF9B27F6-9FE3-42F8-BE7F-2E8BF783A282}"/>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3" xfId="3309" xr:uid="{BD579F3F-AC46-431D-A6F2-A60D0274FFB9}"/>
    <cellStyle name="Comma 44" xfId="3308" xr:uid="{C7760472-264E-4679-9986-A0C746B344D6}"/>
    <cellStyle name="Comma 45" xfId="3307" xr:uid="{EB6308FD-6A76-4D2E-A403-3AFC5D6DE18C}"/>
    <cellStyle name="Comma 46" xfId="3310" xr:uid="{1580F03D-FECF-4C76-B543-A70F1EFF9C40}"/>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1" xfId="2371" xr:uid="{1E4B7249-AF69-45B6-BFDF-71F9118B83E7}"/>
    <cellStyle name="Currency 4 12" xfId="1259" xr:uid="{E7DAEBC2-444C-4ECF-A8D9-C6A2487CC9FE}"/>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3" xfId="2372" xr:uid="{08F4D02B-4292-473D-ADC0-56ABAC607A79}"/>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2" xfId="183" xr:uid="{00000000-0005-0000-0000-00003A010000}"/>
    <cellStyle name="Input 2 2" xfId="1294" xr:uid="{8899C54C-7999-4683-9767-B5290C6E019C}"/>
    <cellStyle name="Input 2 2 2" xfId="3227" xr:uid="{BDB2C478-9B34-4C8A-ADFC-B1E5A5D55AC0}"/>
    <cellStyle name="Input 2 2 3" xfId="3261" xr:uid="{258DE233-A65E-4866-95C8-4B39CE3CE6E0}"/>
    <cellStyle name="Input 2 3" xfId="3116" xr:uid="{FD47FBA9-CE1D-41D2-A32C-BE8B9CA5CDEA}"/>
    <cellStyle name="Input 2 4" xfId="3247" xr:uid="{A2FF7547-0326-44DF-B804-2B22B6369143}"/>
    <cellStyle name="Input 2 5" xfId="1293" xr:uid="{4A06307E-D690-4EAE-AFEF-D1040613786B}"/>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3" xfId="521" xr:uid="{00000000-0005-0000-0000-000056010000}"/>
    <cellStyle name="Normal 10 3 2" xfId="2013" xr:uid="{7745E213-0E61-4785-870B-41F75C1D3115}"/>
    <cellStyle name="Normal 10 3 2 2" xfId="2851" xr:uid="{CDBC5013-947E-4494-8351-B2197DDEE8AC}"/>
    <cellStyle name="Normal 10 3 3" xfId="2374" xr:uid="{01E57F75-D9F3-4147-879B-2E2814D110F7}"/>
    <cellStyle name="Normal 10 3 4" xfId="1301" xr:uid="{9A94F352-8BBC-488B-A76F-CF622501CF8A}"/>
    <cellStyle name="Normal 10 4" xfId="1843" xr:uid="{29780475-1C47-48AC-A136-AFA6477CFBAE}"/>
    <cellStyle name="Normal 10 4 2" xfId="2681" xr:uid="{14409364-0323-41CD-8558-2125D0EA9CD0}"/>
    <cellStyle name="Normal 10 5" xfId="2229" xr:uid="{5AF3DE03-B4A8-43C7-BA7B-F058EF16009E}"/>
    <cellStyle name="Normal 10 6" xfId="2373" xr:uid="{3A732DCF-C5B0-4F24-8E54-3873CBFF7EB4}"/>
    <cellStyle name="Normal 10 7" xfId="1300" xr:uid="{11FFE916-F797-4BA2-8E61-AD503BC8B58D}"/>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2 4" xfId="2232" xr:uid="{B1237019-C641-42A9-AED3-1445FAECAC3F}"/>
    <cellStyle name="Normal 11 2 3" xfId="605" xr:uid="{00000000-0005-0000-0000-00005D010000}"/>
    <cellStyle name="Normal 11 2 3 2" xfId="816" xr:uid="{00000000-0005-0000-0000-00005E010000}"/>
    <cellStyle name="Normal 11 2 3 3" xfId="2207" xr:uid="{BB019278-5D42-465A-A2EC-B9C667EA61E1}"/>
    <cellStyle name="Normal 11 2 4" xfId="710" xr:uid="{00000000-0005-0000-0000-00005F010000}"/>
    <cellStyle name="Normal 11 2 5" xfId="1303" xr:uid="{536546D5-378C-4DD6-BE7F-78F86762F9EB}"/>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3 4" xfId="1304" xr:uid="{359B6297-B3DD-403F-BDFF-8288E8BDBB3B}"/>
    <cellStyle name="Normal 11 4" xfId="579" xr:uid="{00000000-0005-0000-0000-000064010000}"/>
    <cellStyle name="Normal 11 4 2" xfId="790" xr:uid="{00000000-0005-0000-0000-000065010000}"/>
    <cellStyle name="Normal 11 4 3" xfId="2231" xr:uid="{6BC8C81C-09D2-4FAC-BF98-12A324E869A3}"/>
    <cellStyle name="Normal 11 5" xfId="684" xr:uid="{00000000-0005-0000-0000-000066010000}"/>
    <cellStyle name="Normal 11 5 2" xfId="2198" xr:uid="{C253D32C-3448-4783-ACE3-D463ADA6E348}"/>
    <cellStyle name="Normal 11 6" xfId="1302" xr:uid="{75FD1AD2-165D-4662-9D50-EC185D54BE1E}"/>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2 4" xfId="2234" xr:uid="{F3DA8E82-5C98-471A-B96F-B58C3C8E1248}"/>
    <cellStyle name="Normal 12 2 3" xfId="613" xr:uid="{00000000-0005-0000-0000-00006D010000}"/>
    <cellStyle name="Normal 12 2 3 2" xfId="824" xr:uid="{00000000-0005-0000-0000-00006E010000}"/>
    <cellStyle name="Normal 12 2 3 3" xfId="2208" xr:uid="{E23C1F4A-746B-4B1A-A788-66B8069A8956}"/>
    <cellStyle name="Normal 12 2 4" xfId="718" xr:uid="{00000000-0005-0000-0000-00006F010000}"/>
    <cellStyle name="Normal 12 2 5" xfId="1306" xr:uid="{1831F7C4-12E4-497E-BF82-A1659D30E57F}"/>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3 4" xfId="2233" xr:uid="{FAB73BD6-5809-47BF-965B-F055B397A81A}"/>
    <cellStyle name="Normal 12 4" xfId="587" xr:uid="{00000000-0005-0000-0000-000074010000}"/>
    <cellStyle name="Normal 12 4 2" xfId="798" xr:uid="{00000000-0005-0000-0000-000075010000}"/>
    <cellStyle name="Normal 12 4 3" xfId="2199" xr:uid="{D9B9E22E-5861-4F8B-BB01-B2659081A43F}"/>
    <cellStyle name="Normal 12 5" xfId="692" xr:uid="{00000000-0005-0000-0000-000076010000}"/>
    <cellStyle name="Normal 12 6" xfId="1305" xr:uid="{C4A3F2F2-7C80-4D10-83C5-3EFEE42D01C3}"/>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2 4" xfId="2236" xr:uid="{EBBC7A27-84C2-4C2F-9425-435EFD7E8B81}"/>
    <cellStyle name="Normal 13 2 3" xfId="614" xr:uid="{00000000-0005-0000-0000-00007D010000}"/>
    <cellStyle name="Normal 13 2 3 2" xfId="825" xr:uid="{00000000-0005-0000-0000-00007E010000}"/>
    <cellStyle name="Normal 13 2 3 3" xfId="2209" xr:uid="{665B9D62-F24E-472E-A18C-0F64BA4CB6D0}"/>
    <cellStyle name="Normal 13 2 4" xfId="719" xr:uid="{00000000-0005-0000-0000-00007F010000}"/>
    <cellStyle name="Normal 13 2 5" xfId="1308" xr:uid="{A58B22DC-9888-4C88-9ECA-E0DD3B68AA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3 4" xfId="2235" xr:uid="{78B253D6-BC88-4CF8-AE7F-5ED6330192B5}"/>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4 4" xfId="2200" xr:uid="{7C60ACB3-08A1-406A-AB5C-075E8198CC57}"/>
    <cellStyle name="Normal 13 5" xfId="588" xr:uid="{00000000-0005-0000-0000-000088010000}"/>
    <cellStyle name="Normal 13 5 2" xfId="799" xr:uid="{00000000-0005-0000-0000-000089010000}"/>
    <cellStyle name="Normal 13 6" xfId="693" xr:uid="{00000000-0005-0000-0000-00008A010000}"/>
    <cellStyle name="Normal 13 7" xfId="1307" xr:uid="{0823F6CE-9006-4667-A384-5A18B24F26C4}"/>
    <cellStyle name="Normal 14" xfId="350" xr:uid="{00000000-0005-0000-0000-00008B010000}"/>
    <cellStyle name="Normal 14 2" xfId="525" xr:uid="{00000000-0005-0000-0000-00008C010000}"/>
    <cellStyle name="Normal 14 2 2" xfId="2210" xr:uid="{0DD9191A-8CAB-49F9-B958-B41F80B9B104}"/>
    <cellStyle name="Normal 14 3" xfId="2237" xr:uid="{872AA135-9884-44AC-9755-B1AFEC9A8283}"/>
    <cellStyle name="Normal 14 4" xfId="2201" xr:uid="{98C646ED-8A1A-46A3-89D7-0C10946966BA}"/>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3" xfId="2957" xr:uid="{E0387569-ACE5-4B09-B2B5-568300CC1555}"/>
    <cellStyle name="Normal 15 2 2 3" xfId="779" xr:uid="{00000000-0005-0000-0000-000092010000}"/>
    <cellStyle name="Normal 15 2 2 4" xfId="2119" xr:uid="{FACAD500-77C1-497F-AA6B-1548A0E50F44}"/>
    <cellStyle name="Normal 15 2 3" xfId="622" xr:uid="{00000000-0005-0000-0000-000093010000}"/>
    <cellStyle name="Normal 15 2 3 2" xfId="833" xr:uid="{00000000-0005-0000-0000-000094010000}"/>
    <cellStyle name="Normal 15 2 3 3" xfId="2376" xr:uid="{F6B08547-CBDB-4E30-84B3-15BCB12EF944}"/>
    <cellStyle name="Normal 15 2 4" xfId="727" xr:uid="{00000000-0005-0000-0000-000095010000}"/>
    <cellStyle name="Normal 15 2 5" xfId="1310" xr:uid="{B1ACDB92-0B5B-4A74-B56B-82E695355E53}"/>
    <cellStyle name="Normal 15 3" xfId="492" xr:uid="{00000000-0005-0000-0000-000096010000}"/>
    <cellStyle name="Normal 15 3 2" xfId="648" xr:uid="{00000000-0005-0000-0000-000097010000}"/>
    <cellStyle name="Normal 15 3 2 2" xfId="859" xr:uid="{00000000-0005-0000-0000-000098010000}"/>
    <cellStyle name="Normal 15 3 2 3" xfId="2787" xr:uid="{61851684-E9E0-43D1-AE13-D0AAF5A67777}"/>
    <cellStyle name="Normal 15 3 3" xfId="753" xr:uid="{00000000-0005-0000-0000-000099010000}"/>
    <cellStyle name="Normal 15 3 4" xfId="1949" xr:uid="{E3E29C29-2977-4ADE-A2BC-351F8CE28D0D}"/>
    <cellStyle name="Normal 15 4" xfId="596" xr:uid="{00000000-0005-0000-0000-00009A010000}"/>
    <cellStyle name="Normal 15 4 2" xfId="807" xr:uid="{00000000-0005-0000-0000-00009B010000}"/>
    <cellStyle name="Normal 15 4 3" xfId="2250" xr:uid="{16D423AB-C584-47A5-8EB6-A13A83539A06}"/>
    <cellStyle name="Normal 15 5" xfId="701" xr:uid="{00000000-0005-0000-0000-00009C010000}"/>
    <cellStyle name="Normal 15 5 2" xfId="2375" xr:uid="{D210574B-B941-466F-AE6F-1D16F5B7C128}"/>
    <cellStyle name="Normal 15 6" xfId="1309" xr:uid="{9269CDDA-494E-4B6C-B353-2DF34A2C7E51}"/>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3" xfId="2378" xr:uid="{5F37D00A-41B4-4108-A70B-72EB3368C309}"/>
    <cellStyle name="Normal 16 3" xfId="1950" xr:uid="{4C03A992-2D06-4BBB-83AB-E80333C81C71}"/>
    <cellStyle name="Normal 16 3 2" xfId="2788" xr:uid="{84112764-30AB-4764-A843-B48178873FFF}"/>
    <cellStyle name="Normal 16 4" xfId="2377" xr:uid="{D44DFBB8-C2DF-4C80-95C7-AA091B75CCA1}"/>
    <cellStyle name="Normal 16 5" xfId="1311" xr:uid="{D79D8932-4180-4FAF-BF13-F3546DA2C8DC}"/>
    <cellStyle name="Normal 165" xfId="2284" xr:uid="{B8C1ABD9-4EDC-4849-8C1E-1B841AA9516A}"/>
    <cellStyle name="Normal 168" xfId="2285" xr:uid="{9DB8BC59-033A-4D3A-9793-1A40E8FD21A2}"/>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3" xfId="2121" xr:uid="{33AA9152-B9EF-4F9C-9878-D7635051E323}"/>
    <cellStyle name="Normal 17 2 3" xfId="754" xr:uid="{00000000-0005-0000-0000-0000A2010000}"/>
    <cellStyle name="Normal 17 2 3 2" xfId="2380" xr:uid="{69B432DD-A864-45EC-A6B7-D1DFA71D9ADF}"/>
    <cellStyle name="Normal 17 2 4" xfId="1314" xr:uid="{D6A1770A-5520-4769-A95B-CF920564037F}"/>
    <cellStyle name="Normal 17 3" xfId="597" xr:uid="{00000000-0005-0000-0000-0000A3010000}"/>
    <cellStyle name="Normal 17 3 2" xfId="808" xr:uid="{00000000-0005-0000-0000-0000A4010000}"/>
    <cellStyle name="Normal 17 3 2 2" xfId="2789" xr:uid="{9C97885F-EC3A-460F-B574-D10D4676B590}"/>
    <cellStyle name="Normal 17 3 3" xfId="1951" xr:uid="{0C529913-0AD0-4082-85CE-C6EC05C7D33D}"/>
    <cellStyle name="Normal 17 4" xfId="702" xr:uid="{00000000-0005-0000-0000-0000A5010000}"/>
    <cellStyle name="Normal 17 4 2" xfId="2379" xr:uid="{9C27CD71-70FB-4874-BE7D-383D249388BC}"/>
    <cellStyle name="Normal 17 5" xfId="1313" xr:uid="{2A8E8EB0-E351-41B4-B3ED-A9DE8ED5AFA5}"/>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3" xfId="2382" xr:uid="{D74C2703-BCB4-424E-BFD4-4FFEED7732C1}"/>
    <cellStyle name="Normal 18 3" xfId="1952" xr:uid="{6DDD70DF-9106-4F18-A395-3CDB68AAFC87}"/>
    <cellStyle name="Normal 18 3 2" xfId="2790" xr:uid="{1E990523-948E-4826-A0B1-8C611AB2E1FA}"/>
    <cellStyle name="Normal 18 4" xfId="2381" xr:uid="{2968BD70-1B29-40B6-8420-4CEDE7353D2B}"/>
    <cellStyle name="Normal 18 5" xfId="1315" xr:uid="{D3D87B67-D586-4984-96D1-48DD869CFCA4}"/>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3" xfId="2384" xr:uid="{CD542455-9614-4416-9C89-CC59F53D741A}"/>
    <cellStyle name="Normal 19 3" xfId="1953" xr:uid="{BA1D3E27-1356-44FA-AC9F-02773BD89958}"/>
    <cellStyle name="Normal 19 3 2" xfId="2791" xr:uid="{31CC1185-EAB4-4382-BD43-BC7F204D14B4}"/>
    <cellStyle name="Normal 19 4" xfId="2383" xr:uid="{6A27CE8B-B996-4E34-AFCC-FB006C92EFC9}"/>
    <cellStyle name="Normal 19 5" xfId="1317" xr:uid="{227A798D-C2BB-45E1-A183-962A3DAA4356}"/>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3" xfId="2386" xr:uid="{66ACB7DF-CF30-4668-88BF-408516A9A742}"/>
    <cellStyle name="Normal 2 11 3" xfId="1844" xr:uid="{783999FE-24AD-42C4-9760-46E8091D4CD2}"/>
    <cellStyle name="Normal 2 11 3 2" xfId="2682" xr:uid="{9E8F8C7D-DE58-4371-AB40-92ABC3D5F7E4}"/>
    <cellStyle name="Normal 2 11 4" xfId="2385" xr:uid="{A7EAE794-DD64-4738-BA0D-3AEA1FAA70F9}"/>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3" xfId="2124" xr:uid="{169EB7EC-60EA-4449-8AAA-2BBA501DFD3C}"/>
    <cellStyle name="Normal 20 2 3" xfId="2388" xr:uid="{BB414916-797E-4DA0-B6E5-C48AF6F117D0}"/>
    <cellStyle name="Normal 20 2 4" xfId="1351" xr:uid="{38BAB4FA-DBFB-4A24-AC7F-71CFFD4EB269}"/>
    <cellStyle name="Normal 20 3" xfId="728" xr:uid="{00000000-0005-0000-0000-0000AD010000}"/>
    <cellStyle name="Normal 20 3 2" xfId="2792" xr:uid="{2289E143-5F1A-4D0E-9750-2160A421F150}"/>
    <cellStyle name="Normal 20 3 3" xfId="1954" xr:uid="{72E24B07-FEC6-44DF-B30C-C6B1BF7B9765}"/>
    <cellStyle name="Normal 20 4" xfId="2387" xr:uid="{D696C344-F064-451F-854E-ADBEC68ED8D4}"/>
    <cellStyle name="Normal 20 5" xfId="1350" xr:uid="{80F78A6F-7B63-4875-ABA9-ABF5ABAFA689}"/>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3" xfId="2390" xr:uid="{91CE1401-BE1F-45BF-A152-56FA5AFA48C7}"/>
    <cellStyle name="Normal 21 2 4" xfId="1353" xr:uid="{7DD5D63B-E42A-45A2-8B1F-BFD010A2AFCD}"/>
    <cellStyle name="Normal 21 3" xfId="1955" xr:uid="{600D905C-D79A-48BF-97C0-7952719E8ECF}"/>
    <cellStyle name="Normal 21 3 2" xfId="2793" xr:uid="{64CB2E86-D41C-4B35-93AE-3ABD982EEEFE}"/>
    <cellStyle name="Normal 21 4" xfId="2389" xr:uid="{1A457300-7421-4804-8D1C-D2C75AD26C19}"/>
    <cellStyle name="Normal 21 5" xfId="1352" xr:uid="{C4E9EFBD-D3E7-4156-986A-830FD7DEB25D}"/>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3" xfId="2392" xr:uid="{E83A219D-4400-493C-8A05-E344A27580D9}"/>
    <cellStyle name="Normal 22 2 4" xfId="1355" xr:uid="{CAE9DF9A-0F53-4FD4-87E4-9FEBF4FCC933}"/>
    <cellStyle name="Normal 22 3" xfId="1956" xr:uid="{0A17F3A3-886B-42F6-A667-28C933F3176F}"/>
    <cellStyle name="Normal 22 3 2" xfId="2794" xr:uid="{A042C05D-6080-40D8-8BDB-AA3C083E144C}"/>
    <cellStyle name="Normal 22 4" xfId="2391" xr:uid="{8172BACF-4EBF-49DD-96A1-E3EF1FCD0A27}"/>
    <cellStyle name="Normal 22 5" xfId="1354" xr:uid="{7A2D3203-3B34-4E82-B9B3-C79CBECC613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3" xfId="2394" xr:uid="{05B91AC1-61A5-4480-8FF3-DA4F87F269A4}"/>
    <cellStyle name="Normal 23 2 4" xfId="1357" xr:uid="{9C686519-B3CD-43C4-9470-B4BE992CA98E}"/>
    <cellStyle name="Normal 23 3" xfId="1957" xr:uid="{3EAB5E34-AC6D-4489-9CC0-584BBC157D23}"/>
    <cellStyle name="Normal 23 3 2" xfId="2795" xr:uid="{25292699-2F30-4E41-9A4B-AF7181E133EF}"/>
    <cellStyle name="Normal 23 4" xfId="2393" xr:uid="{CE0FBA6F-460C-4DA9-8588-806D4FDDF239}"/>
    <cellStyle name="Normal 23 5" xfId="1356" xr:uid="{F9F1A23E-B674-4C89-A948-C50929D25E12}"/>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3" xfId="2396" xr:uid="{06B09A4F-BE22-49C8-9E00-950EAD5A6EB3}"/>
    <cellStyle name="Normal 24 3" xfId="1958" xr:uid="{5A078C6E-8CBC-420B-A4D5-B1BC2731A8C7}"/>
    <cellStyle name="Normal 24 3 2" xfId="2796" xr:uid="{29B42199-9B35-475C-826C-37C07583E2ED}"/>
    <cellStyle name="Normal 24 4" xfId="2395" xr:uid="{C1F5721B-0063-4118-8D42-FFDE4016C75E}"/>
    <cellStyle name="Normal 24 5" xfId="1358" xr:uid="{6610B6C5-9C18-4469-8A25-748B600F0E4A}"/>
    <cellStyle name="Normal 25" xfId="892" xr:uid="{68006706-7F3A-4028-8E01-529886742ED7}"/>
    <cellStyle name="Normal 25 2" xfId="2967" xr:uid="{F82BFECA-AD3A-472B-925A-977DFB79C09B}"/>
    <cellStyle name="Normal 26" xfId="2129" xr:uid="{1C43A721-B051-4254-9E3D-D6AF18C32F81}"/>
    <cellStyle name="Normal 27" xfId="2172" xr:uid="{36520028-2908-4756-BB66-0C08F2B9715E}"/>
    <cellStyle name="Normal 28" xfId="2143" xr:uid="{0966DCF3-83EC-4692-9616-FECEED1FC19D}"/>
    <cellStyle name="Normal 28 2" xfId="2269" xr:uid="{85436D53-DF83-4D9D-9232-9F47D4D8C51E}"/>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3" xfId="2403" xr:uid="{40FB1E3D-79C0-4741-90A1-776097BFC2BF}"/>
    <cellStyle name="Normal 3 3 2 2 2 2 3" xfId="1849" xr:uid="{D30F4E70-3860-463F-8105-71D29D781F0C}"/>
    <cellStyle name="Normal 3 3 2 2 2 2 3 2" xfId="2687" xr:uid="{C7CCC6EA-161F-4F25-AC1F-F1F82C3FB49D}"/>
    <cellStyle name="Normal 3 3 2 2 2 2 4" xfId="2402" xr:uid="{F74A138B-AB39-4613-8474-46BAEE1290C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3" xfId="2405" xr:uid="{4559754D-F333-4590-A20D-56169282588D}"/>
    <cellStyle name="Normal 3 3 2 2 2 3 3" xfId="1850" xr:uid="{292991B7-DAE1-4619-8C3C-D5656DA5BD4D}"/>
    <cellStyle name="Normal 3 3 2 2 2 3 3 2" xfId="2688" xr:uid="{1A2507BD-0F97-4C8D-A19B-20D0D1BC7FE1}"/>
    <cellStyle name="Normal 3 3 2 2 2 3 4" xfId="2404" xr:uid="{B959B3A4-0E50-46BC-820E-F2B82706E62B}"/>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3" xfId="2406" xr:uid="{9E5AC42B-93D4-476F-8ACC-76D522E6E32A}"/>
    <cellStyle name="Normal 3 3 2 2 2 5" xfId="1848" xr:uid="{74098714-4C35-41FA-93B3-AE0A5BB7F900}"/>
    <cellStyle name="Normal 3 3 2 2 2 5 2" xfId="2686" xr:uid="{1A0F5E51-98B6-4D35-AC28-8F667A72F635}"/>
    <cellStyle name="Normal 3 3 2 2 2 6" xfId="2401" xr:uid="{9D6052A4-D843-4ECC-9177-706255903C7F}"/>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3" xfId="2408" xr:uid="{6C1DC172-272F-49CE-ADFA-7E95F2EC58A4}"/>
    <cellStyle name="Normal 3 3 2 2 3 3" xfId="1851" xr:uid="{B3750FF9-4B38-471A-B9D4-CA5F2D1DD922}"/>
    <cellStyle name="Normal 3 3 2 2 3 3 2" xfId="2689" xr:uid="{B82228E5-520A-4196-85D9-FC4EECF36A2C}"/>
    <cellStyle name="Normal 3 3 2 2 3 4" xfId="2407" xr:uid="{2AEE3396-13CD-4EE5-9772-8235453B8FBA}"/>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3" xfId="2410" xr:uid="{34A32F75-92FE-44F2-8106-8BDD3FF5E011}"/>
    <cellStyle name="Normal 3 3 2 2 4 3" xfId="1852" xr:uid="{030906E1-6E0C-4E19-ACFF-939F40039A85}"/>
    <cellStyle name="Normal 3 3 2 2 4 3 2" xfId="2690" xr:uid="{6D7C394A-5C3F-49D1-8F47-53DD08AABC81}"/>
    <cellStyle name="Normal 3 3 2 2 4 4" xfId="2409" xr:uid="{84FE2ADC-35B4-43CD-8801-3C1D49226BAD}"/>
    <cellStyle name="Normal 3 3 2 2 5" xfId="1376" xr:uid="{694FFB08-A071-4D2C-B896-E6BFB2D9FDF2}"/>
    <cellStyle name="Normal 3 3 2 2 5 2" xfId="2017" xr:uid="{4B3319FF-960C-4C40-84D1-97CD0224EF26}"/>
    <cellStyle name="Normal 3 3 2 2 5 2 2" xfId="2855" xr:uid="{EDDECF2E-9D1B-442F-BA2A-E7CB97B041A6}"/>
    <cellStyle name="Normal 3 3 2 2 5 3" xfId="2411" xr:uid="{F650DBB1-F924-47EC-8D81-C8A3D306BEA9}"/>
    <cellStyle name="Normal 3 3 2 2 6" xfId="1847" xr:uid="{22F26185-5F0B-4C2E-8B2A-8B3E209E212B}"/>
    <cellStyle name="Normal 3 3 2 2 6 2" xfId="2685" xr:uid="{6778674C-94B4-4062-9B1E-D8114BECF793}"/>
    <cellStyle name="Normal 3 3 2 2 7" xfId="2400" xr:uid="{B8874235-9249-4B55-B278-615063BFD6A3}"/>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3" xfId="2414" xr:uid="{40D807B2-00B1-4DD6-9298-7633C57B9C3F}"/>
    <cellStyle name="Normal 3 3 2 3 2 3" xfId="1854" xr:uid="{CB6F9962-FE52-46B5-AC4B-0BF8780077E3}"/>
    <cellStyle name="Normal 3 3 2 3 2 3 2" xfId="2692" xr:uid="{30A03748-AF51-4C46-9815-FDB5E1BF8369}"/>
    <cellStyle name="Normal 3 3 2 3 2 4" xfId="2413" xr:uid="{7A6D1666-9648-42A7-AC88-77972A58FBF3}"/>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3" xfId="2416" xr:uid="{FCC0642B-1893-450F-B0D0-12F23CD024E9}"/>
    <cellStyle name="Normal 3 3 2 3 3 3" xfId="1855" xr:uid="{FC30AD62-46E4-4415-9080-14FA74A8FD3B}"/>
    <cellStyle name="Normal 3 3 2 3 3 3 2" xfId="2693" xr:uid="{AD6C90D9-AC05-4EF0-AFF1-0640321E6AA6}"/>
    <cellStyle name="Normal 3 3 2 3 3 4" xfId="2415" xr:uid="{C64228C9-551A-4644-80FF-CFB09AA9E5AD}"/>
    <cellStyle name="Normal 3 3 2 3 4" xfId="1382" xr:uid="{9A8FAC42-F61A-4F8A-B54C-5F576BC2168C}"/>
    <cellStyle name="Normal 3 3 2 3 4 2" xfId="2023" xr:uid="{9FBB4BC7-0355-43DC-9F93-0171F73DB762}"/>
    <cellStyle name="Normal 3 3 2 3 4 2 2" xfId="2861" xr:uid="{9BA7ABA5-3356-4BB9-940C-39D82CAC4D5E}"/>
    <cellStyle name="Normal 3 3 2 3 4 3" xfId="2417" xr:uid="{1B08934E-3BC1-4031-B3F4-1475FC4A1A33}"/>
    <cellStyle name="Normal 3 3 2 3 5" xfId="1853" xr:uid="{9C65F635-5E9D-499D-9153-18F3A47E9B6E}"/>
    <cellStyle name="Normal 3 3 2 3 5 2" xfId="2691" xr:uid="{7727E666-B809-476D-B1C8-FABF24DFADB1}"/>
    <cellStyle name="Normal 3 3 2 3 6" xfId="2412" xr:uid="{B9C594A7-0C53-4361-9AD9-65C2E7B033BB}"/>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3" xfId="2419" xr:uid="{E1A1F1D1-F1F2-4C72-932B-4C6E7AE35F3F}"/>
    <cellStyle name="Normal 3 3 2 4 3" xfId="1856" xr:uid="{D1FEC553-A1B0-4DC3-A991-D91157B3F9DA}"/>
    <cellStyle name="Normal 3 3 2 4 3 2" xfId="2694" xr:uid="{7E416316-F6F2-495C-B81D-C65859CC9E40}"/>
    <cellStyle name="Normal 3 3 2 4 4" xfId="2418" xr:uid="{D5ECD61F-6467-4E80-95C9-5D4CB13401A4}"/>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3" xfId="2421" xr:uid="{A238F1B8-F5A1-4B61-BE01-130FAB7EB180}"/>
    <cellStyle name="Normal 3 3 2 5 3" xfId="1857" xr:uid="{E922040E-B319-4E1D-AB1A-3385045323B1}"/>
    <cellStyle name="Normal 3 3 2 5 3 2" xfId="2695" xr:uid="{4A7AA488-8438-4AB7-ACD2-7FFF3E3E804D}"/>
    <cellStyle name="Normal 3 3 2 5 4" xfId="2420" xr:uid="{BF628853-D550-4E12-A984-3F6B70FB361B}"/>
    <cellStyle name="Normal 3 3 2 6" xfId="1387" xr:uid="{5BB219D4-D48F-4498-B91C-A7F16D48247B}"/>
    <cellStyle name="Normal 3 3 2 6 2" xfId="2016" xr:uid="{9905FAB7-2B27-4EA8-AD42-55ED7182DC33}"/>
    <cellStyle name="Normal 3 3 2 6 2 2" xfId="2854" xr:uid="{7CEA0144-721C-45AB-9D0C-85E0D6F55EAA}"/>
    <cellStyle name="Normal 3 3 2 6 3" xfId="2422" xr:uid="{DF796354-4C57-412C-B9F4-627198409566}"/>
    <cellStyle name="Normal 3 3 2 7" xfId="1846" xr:uid="{6BDD0BF2-E45F-4E0A-BD10-A1E9C3B40713}"/>
    <cellStyle name="Normal 3 3 2 7 2" xfId="2684" xr:uid="{7B7DBCF5-5107-4509-8D53-EE9EA18B6B10}"/>
    <cellStyle name="Normal 3 3 2 8" xfId="2399" xr:uid="{E5E68E8B-5AB2-480E-8AA3-9EBFF56075C8}"/>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3" xfId="2426" xr:uid="{395D0B2B-CC10-44EF-87F1-B6016282C20A}"/>
    <cellStyle name="Normal 3 3 3 2 2 3" xfId="1860" xr:uid="{66A1C5AF-BE81-4661-ACEF-FA20ED04C7B2}"/>
    <cellStyle name="Normal 3 3 3 2 2 3 2" xfId="2698" xr:uid="{F798B1E1-E16A-41C9-9006-D8FA9D43D97E}"/>
    <cellStyle name="Normal 3 3 3 2 2 4" xfId="2425" xr:uid="{454470E2-1D82-43E9-876C-A18D007F2B3B}"/>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3" xfId="2428" xr:uid="{AD9E1390-C0F9-439D-942B-6C0CC94BAD72}"/>
    <cellStyle name="Normal 3 3 3 2 3 3" xfId="1861" xr:uid="{20541832-2B18-4F4B-A48D-B402CC58A4C1}"/>
    <cellStyle name="Normal 3 3 3 2 3 3 2" xfId="2699" xr:uid="{A8D329B8-30CE-4E9A-B2DA-179CAF57AFE0}"/>
    <cellStyle name="Normal 3 3 3 2 3 4" xfId="2427" xr:uid="{ECA72615-EB3A-47CF-A092-0D2D656471F0}"/>
    <cellStyle name="Normal 3 3 3 2 4" xfId="1394" xr:uid="{C2B78745-F30F-4956-B81F-AC5714F8853A}"/>
    <cellStyle name="Normal 3 3 3 2 4 2" xfId="2029" xr:uid="{6B1AA520-7702-4AE5-BD72-5CC570389C94}"/>
    <cellStyle name="Normal 3 3 3 2 4 2 2" xfId="2867" xr:uid="{943266A9-52E9-431F-B60B-257E8A8E28E7}"/>
    <cellStyle name="Normal 3 3 3 2 4 3" xfId="2429" xr:uid="{C935C4C2-0808-4228-B207-F70C348BF360}"/>
    <cellStyle name="Normal 3 3 3 2 5" xfId="1859" xr:uid="{FAA60FC3-FCDB-44F1-A024-494A1A71947A}"/>
    <cellStyle name="Normal 3 3 3 2 5 2" xfId="2697" xr:uid="{B2E6B3E8-4FFB-4B58-8340-BE41D06C4338}"/>
    <cellStyle name="Normal 3 3 3 2 6" xfId="2424" xr:uid="{BD724376-33AB-46C7-8556-2ACBACC54D87}"/>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3" xfId="2431" xr:uid="{6736E1B7-5F31-40AE-B49A-6CE381573624}"/>
    <cellStyle name="Normal 3 3 3 3 3" xfId="1862" xr:uid="{BD96C497-2099-4EED-AB7E-A7F04C07BC08}"/>
    <cellStyle name="Normal 3 3 3 3 3 2" xfId="2700" xr:uid="{451C3D7B-96D5-4131-8F7E-A85808D0292A}"/>
    <cellStyle name="Normal 3 3 3 3 4" xfId="2430" xr:uid="{A5BCB04E-D70E-4BB0-B10A-BB65972E7B29}"/>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3" xfId="2433" xr:uid="{1BE9D149-0876-4D3B-9302-153A8DE0EE07}"/>
    <cellStyle name="Normal 3 3 3 4 3" xfId="1863" xr:uid="{C570D1D8-2225-457A-96CB-A21D9BEE642B}"/>
    <cellStyle name="Normal 3 3 3 4 3 2" xfId="2701" xr:uid="{8014204A-1F6B-4B38-AC9F-BE6AD705BFF2}"/>
    <cellStyle name="Normal 3 3 3 4 4" xfId="2432" xr:uid="{56DA3CAC-4A9A-4776-9A77-0D1CA609C84F}"/>
    <cellStyle name="Normal 3 3 3 5" xfId="1399" xr:uid="{2FD49DC2-8403-458F-9495-3E73A964CD30}"/>
    <cellStyle name="Normal 3 3 3 5 2" xfId="2028" xr:uid="{9D20D726-B842-45A3-B257-0F3C38CD7791}"/>
    <cellStyle name="Normal 3 3 3 5 2 2" xfId="2866" xr:uid="{6BE51D6A-5597-4B91-8E1A-C55BA69BC2B9}"/>
    <cellStyle name="Normal 3 3 3 5 3" xfId="2434" xr:uid="{CD7AC8E3-BFE9-4917-8755-91CA8F57B55C}"/>
    <cellStyle name="Normal 3 3 3 6" xfId="1858" xr:uid="{1F3B2A2B-BEE2-41A8-9892-7ADF7D2AC059}"/>
    <cellStyle name="Normal 3 3 3 6 2" xfId="2696" xr:uid="{EF5F2BC7-5C81-494B-A88A-8DFFC1203ACE}"/>
    <cellStyle name="Normal 3 3 3 7" xfId="2423" xr:uid="{56A04BB6-FB35-4914-91C2-D54F894C9F87}"/>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3" xfId="2437" xr:uid="{0742E5C0-69C4-424A-8120-54366EAF181D}"/>
    <cellStyle name="Normal 3 3 4 2 3" xfId="1865" xr:uid="{0E495B2C-90D0-4009-94EF-EC301167B00F}"/>
    <cellStyle name="Normal 3 3 4 2 3 2" xfId="2703" xr:uid="{7D48FB6B-431E-42FD-BAED-E41DA294F96D}"/>
    <cellStyle name="Normal 3 3 4 2 4" xfId="2436" xr:uid="{B3C652F5-1485-4E28-B60E-A7C42A3E1AA0}"/>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3" xfId="2439" xr:uid="{C1F648FC-3491-4D78-9A89-0ECCADFA62E1}"/>
    <cellStyle name="Normal 3 3 4 3 3" xfId="1866" xr:uid="{9F15135D-A294-49DC-8E42-0AE9EA58360F}"/>
    <cellStyle name="Normal 3 3 4 3 3 2" xfId="2704" xr:uid="{5027414D-5065-4A3F-8B0C-84A7DA1A1E80}"/>
    <cellStyle name="Normal 3 3 4 3 4" xfId="2438" xr:uid="{E9C082EB-1113-4281-A477-9A8EB0A9C642}"/>
    <cellStyle name="Normal 3 3 4 4" xfId="1405" xr:uid="{665917CD-2E1F-4E26-B8FF-F7C883159E4C}"/>
    <cellStyle name="Normal 3 3 4 4 2" xfId="2034" xr:uid="{79D50425-2DD0-4864-A2E2-1C7AB1809674}"/>
    <cellStyle name="Normal 3 3 4 4 2 2" xfId="2872" xr:uid="{094525CE-C14F-488B-A871-9C3B16D6254A}"/>
    <cellStyle name="Normal 3 3 4 4 3" xfId="2440" xr:uid="{62050D8D-BE12-41D5-828E-0359566B4F78}"/>
    <cellStyle name="Normal 3 3 4 5" xfId="1864" xr:uid="{2BA38CFC-E470-433E-89DB-19B166968F03}"/>
    <cellStyle name="Normal 3 3 4 5 2" xfId="2702" xr:uid="{D2EC385D-B0D6-4FC8-8141-96DAF805DFCE}"/>
    <cellStyle name="Normal 3 3 4 6" xfId="2435" xr:uid="{A8FFF776-9E46-423C-9D14-26A7E5F83A0D}"/>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3" xfId="2442" xr:uid="{E66ADC8B-3B10-4BB5-8FD0-A017042AFC0E}"/>
    <cellStyle name="Normal 3 3 5 3" xfId="1867" xr:uid="{81E0B588-9032-4944-91A5-3CA4A913426A}"/>
    <cellStyle name="Normal 3 3 5 3 2" xfId="2705" xr:uid="{E8FCBC92-FD4E-4BFF-9C7E-B3D16879693F}"/>
    <cellStyle name="Normal 3 3 5 4" xfId="2441" xr:uid="{B52838F8-FAEC-4C00-9B0E-CE2CB7FE4336}"/>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3" xfId="2444" xr:uid="{0B02FB7B-0676-4846-917E-9A93708FC029}"/>
    <cellStyle name="Normal 3 3 6 3" xfId="1868" xr:uid="{C5F39B25-5D2C-413F-8414-B90A7BC79881}"/>
    <cellStyle name="Normal 3 3 6 3 2" xfId="2706" xr:uid="{9771CDAC-AFD3-44AE-8B19-809F349A09BF}"/>
    <cellStyle name="Normal 3 3 6 4" xfId="2443" xr:uid="{4F9DFD65-C4EE-4042-A278-F91E2C27438C}"/>
    <cellStyle name="Normal 3 3 7" xfId="1410" xr:uid="{177FE0B9-15D3-4FD6-914A-15C5437B15A0}"/>
    <cellStyle name="Normal 3 3 7 2" xfId="2015" xr:uid="{F656B6F6-85C5-42B1-ADE5-D49436BB353F}"/>
    <cellStyle name="Normal 3 3 7 2 2" xfId="2853" xr:uid="{6DEEBB2A-9D42-4E8B-8833-01F69C7B1044}"/>
    <cellStyle name="Normal 3 3 7 3" xfId="2445" xr:uid="{156F23E1-9503-4B67-88E7-A811E1B5605D}"/>
    <cellStyle name="Normal 3 3 8" xfId="1845" xr:uid="{DA1D3347-50FA-4D55-ABF4-28F5780F8EA0}"/>
    <cellStyle name="Normal 3 3 8 2" xfId="2683" xr:uid="{5E2BB102-164E-41E0-88EC-8331CAEA81A9}"/>
    <cellStyle name="Normal 3 3 9" xfId="2238" xr:uid="{67223093-6D55-4D10-866E-FB3A7E3C7A67}"/>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3" xfId="2446" xr:uid="{D38533AA-7E60-4E2D-AE8F-5A21B02C7634}"/>
    <cellStyle name="Normal 3 6" xfId="1801" xr:uid="{AE5E5130-66D7-4456-96BB-04C887517A71}"/>
    <cellStyle name="Normal 3 6 2" xfId="2639" xr:uid="{9213465F-866C-46DC-9C94-DB086527884F}"/>
    <cellStyle name="Normal 3 7" xfId="2211" xr:uid="{01937FA9-C02D-43C7-B759-5DDCE3B77C71}"/>
    <cellStyle name="Normal 3 8" xfId="2397" xr:uid="{4338B9C6-E7A0-455D-ADC3-4BFC1BC16ACF}"/>
    <cellStyle name="Normal 3 9" xfId="1360" xr:uid="{5339F9A2-E26C-4C7D-90CA-10A5E8068A28}"/>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3" xfId="2449" xr:uid="{4B095C41-63D4-4635-BDCD-4D41C3409B55}"/>
    <cellStyle name="Normal 4 10 3" xfId="1870" xr:uid="{3503F00A-77CF-4E5D-A299-366FE81EB8FB}"/>
    <cellStyle name="Normal 4 10 3 2" xfId="2708" xr:uid="{EFE79BC0-E857-4949-A78F-ACA9D043128F}"/>
    <cellStyle name="Normal 4 10 4" xfId="2448" xr:uid="{801B24CB-8456-444F-90B3-2A48340AB901}"/>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3" xfId="2451" xr:uid="{F991B8BE-CBF8-4CD0-918B-1071E4D70F19}"/>
    <cellStyle name="Normal 4 11 3" xfId="1869" xr:uid="{9D21628D-F37E-4D0D-891C-BFFFEB29BE14}"/>
    <cellStyle name="Normal 4 11 3 2" xfId="2707" xr:uid="{981A7E47-6ACB-4EE8-8461-AA96CF9A6637}"/>
    <cellStyle name="Normal 4 11 4" xfId="2450" xr:uid="{4E7992CB-C4B0-4510-8EA8-EA0FDCAD0976}"/>
    <cellStyle name="Normal 4 12" xfId="1419" xr:uid="{C2675D15-315A-4588-A442-F1834919F03C}"/>
    <cellStyle name="Normal 4 12 2" xfId="1972" xr:uid="{458578E6-801C-4E86-805E-3BDF025052D2}"/>
    <cellStyle name="Normal 4 12 2 2" xfId="2810" xr:uid="{915344BF-27CF-4D64-909E-A52F371A4AB0}"/>
    <cellStyle name="Normal 4 12 3" xfId="2452" xr:uid="{1F5BB8FA-3E8D-4099-8305-C1C385E1F88C}"/>
    <cellStyle name="Normal 4 13" xfId="1802" xr:uid="{57F4B076-F719-4377-A171-ED751CA88326}"/>
    <cellStyle name="Normal 4 13 2" xfId="2640" xr:uid="{212FB2C4-E530-4B5D-AB8C-984984C0182B}"/>
    <cellStyle name="Normal 4 14" xfId="2212" xr:uid="{C6763DA5-5318-4333-A471-9CCB44A4CC81}"/>
    <cellStyle name="Normal 4 15" xfId="2447" xr:uid="{C0BECD78-7F86-4D73-9846-7A445EFEAD39}"/>
    <cellStyle name="Normal 4 16" xfId="1414" xr:uid="{B496AEFD-17AA-4AEA-9CBA-0888E904FC39}"/>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3" xfId="2454" xr:uid="{86B853D3-0648-425E-9A2D-D413211D119B}"/>
    <cellStyle name="Normal 4 2 4" xfId="1871" xr:uid="{D5863288-E899-4115-9C51-94A6218A7911}"/>
    <cellStyle name="Normal 4 2 4 2" xfId="2709" xr:uid="{9B31484D-2940-4239-BF0A-50C171192BDD}"/>
    <cellStyle name="Normal 4 2 5" xfId="2239" xr:uid="{8BFA4B12-02EB-4D46-A543-A51021E5129A}"/>
    <cellStyle name="Normal 4 2 6" xfId="2453" xr:uid="{C333BE56-60BC-4572-80D4-B630E3BD9236}"/>
    <cellStyle name="Normal 4 2 7" xfId="1420" xr:uid="{E22DB21D-3CCA-4A75-A6DB-1CEA16C08A21}"/>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3" xfId="2456" xr:uid="{5742E25E-E816-49DC-9F0C-ACEAFBB57BAB}"/>
    <cellStyle name="Normal 4 3 2 3" xfId="1872" xr:uid="{B4856B71-0879-4DFB-889D-D0845C997D55}"/>
    <cellStyle name="Normal 4 3 2 3 2" xfId="2710" xr:uid="{0CB65072-B25B-46A3-AF23-36DCA7580F4E}"/>
    <cellStyle name="Normal 4 3 2 4" xfId="2455" xr:uid="{0362333F-8C70-45AF-AA44-FD0EA3CAB068}"/>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3" xfId="2460" xr:uid="{4131F70C-5FD2-4D6C-BDA2-041357C18EFF}"/>
    <cellStyle name="Normal 4 6 2 2 3" xfId="1875" xr:uid="{54234563-2460-401B-9890-2B1A84C8A454}"/>
    <cellStyle name="Normal 4 6 2 2 3 2" xfId="2713" xr:uid="{1D6EC568-6CE7-4772-A4CC-8DEA4D51AADC}"/>
    <cellStyle name="Normal 4 6 2 2 4" xfId="2459" xr:uid="{973FEA00-9FB0-4775-AAC5-C2E643486BBB}"/>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3" xfId="2462" xr:uid="{1E3B1081-89B0-4822-AAE3-103D4D835651}"/>
    <cellStyle name="Normal 4 6 2 3 3" xfId="1876" xr:uid="{DE07F520-FA4C-4D4B-96F4-795A6B558887}"/>
    <cellStyle name="Normal 4 6 2 3 3 2" xfId="2714" xr:uid="{70C31B90-BBB6-4817-949C-DA2E3A0ED760}"/>
    <cellStyle name="Normal 4 6 2 3 4" xfId="2461" xr:uid="{BE2315A9-A79D-4D58-AF9E-B002EF2EDB3E}"/>
    <cellStyle name="Normal 4 6 2 4" xfId="1435" xr:uid="{7685870A-C047-4C99-A0BF-1701062D3354}"/>
    <cellStyle name="Normal 4 6 2 4 2" xfId="2044" xr:uid="{798DA74D-08DF-4DED-8B9C-1C1506BC42ED}"/>
    <cellStyle name="Normal 4 6 2 4 2 2" xfId="2882" xr:uid="{9BC80D4D-FA01-4E59-B917-70D765CA0989}"/>
    <cellStyle name="Normal 4 6 2 4 3" xfId="2463" xr:uid="{63FE4BDB-C9BD-4503-9D20-D208D220B406}"/>
    <cellStyle name="Normal 4 6 2 5" xfId="1874" xr:uid="{973D753B-4B02-424F-B827-B46D26EA69ED}"/>
    <cellStyle name="Normal 4 6 2 5 2" xfId="2712" xr:uid="{CB97BAA2-3859-4EA1-9439-8586C8258A66}"/>
    <cellStyle name="Normal 4 6 2 6" xfId="2458" xr:uid="{AA81057F-D192-404A-A8E8-9071E5A4ADE6}"/>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3" xfId="2465" xr:uid="{5A2DBE64-45DA-4212-A44A-54DB40C37055}"/>
    <cellStyle name="Normal 4 6 3 3" xfId="1877" xr:uid="{5BBE7A73-9613-4479-9A5B-E8417AD7049E}"/>
    <cellStyle name="Normal 4 6 3 3 2" xfId="2715" xr:uid="{AD255259-EF28-4D48-98CF-3BC0804EAC48}"/>
    <cellStyle name="Normal 4 6 3 4" xfId="2464" xr:uid="{03FBC877-9BFA-4D45-BAA9-8CE6AC874AA9}"/>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3" xfId="2467" xr:uid="{A55FA090-2633-4C7E-8203-1CA3C44A89A3}"/>
    <cellStyle name="Normal 4 6 4 3" xfId="1878" xr:uid="{B10AD301-133D-48CF-938B-C8FD426F1AD5}"/>
    <cellStyle name="Normal 4 6 4 3 2" xfId="2716" xr:uid="{4EA15C64-6731-4FE6-BC33-93FE40CCD1A8}"/>
    <cellStyle name="Normal 4 6 4 4" xfId="2466" xr:uid="{B4F27700-57BA-437C-8C0B-C5D0300DDAA7}"/>
    <cellStyle name="Normal 4 6 5" xfId="1440" xr:uid="{5529D59E-F711-47D2-9E2F-294B7FD0334F}"/>
    <cellStyle name="Normal 4 6 5 2" xfId="2043" xr:uid="{681AB269-9F92-4940-9D75-996C5C906CD5}"/>
    <cellStyle name="Normal 4 6 5 2 2" xfId="2881" xr:uid="{0EFB0F9E-DEF2-45D7-BA4F-62EAD558C49A}"/>
    <cellStyle name="Normal 4 6 5 3" xfId="2468" xr:uid="{B9DD7042-CEBF-4012-AE3D-17A97F0A0875}"/>
    <cellStyle name="Normal 4 6 6" xfId="1873" xr:uid="{838CBE68-CE96-46A0-A151-4D4BDB6F83D1}"/>
    <cellStyle name="Normal 4 6 6 2" xfId="2711" xr:uid="{93232B3B-1A78-44A2-B8C2-634FCE164D55}"/>
    <cellStyle name="Normal 4 6 7" xfId="2457" xr:uid="{334A6610-4525-4AC8-9493-8278EF16AB75}"/>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3" xfId="2471" xr:uid="{2D85F0FD-ADEF-4301-9452-92D8FE5FA373}"/>
    <cellStyle name="Normal 4 7 2 3" xfId="1880" xr:uid="{6FEFBFD5-CC97-466A-B966-7B4E1850B3D1}"/>
    <cellStyle name="Normal 4 7 2 3 2" xfId="2718" xr:uid="{F6B2717C-439A-4755-A364-40BF2D0B1407}"/>
    <cellStyle name="Normal 4 7 2 4" xfId="2470" xr:uid="{50920F58-4314-4D57-9B6B-CB597468B788}"/>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3" xfId="2473" xr:uid="{56CB45A4-C19F-4A14-B173-32A3FE35A135}"/>
    <cellStyle name="Normal 4 7 3 3" xfId="1881" xr:uid="{887B1CAF-DD4A-4EFF-A2FE-74C301FD3862}"/>
    <cellStyle name="Normal 4 7 3 3 2" xfId="2719" xr:uid="{B9855D14-C8A6-4D54-BF05-6E25B47E7C26}"/>
    <cellStyle name="Normal 4 7 3 4" xfId="2472" xr:uid="{B3822C67-3739-47E2-85A7-B8AABAD7E22B}"/>
    <cellStyle name="Normal 4 7 4" xfId="1446" xr:uid="{7DFE28CB-EE08-478B-911A-69CF0808316E}"/>
    <cellStyle name="Normal 4 7 4 2" xfId="2049" xr:uid="{80DB77B7-EE3A-4E07-83BB-841CEBC0F2AA}"/>
    <cellStyle name="Normal 4 7 4 2 2" xfId="2887" xr:uid="{75A459BA-04D7-4A05-91BF-AC7A86F972AB}"/>
    <cellStyle name="Normal 4 7 4 3" xfId="2474" xr:uid="{ADB7D63D-4593-483F-B1DF-7A81208DE749}"/>
    <cellStyle name="Normal 4 7 5" xfId="1879" xr:uid="{09DACF4E-CEC4-4F23-BD12-C72385493460}"/>
    <cellStyle name="Normal 4 7 5 2" xfId="2717" xr:uid="{AE198D66-DCE2-4C5F-A8C7-6DFC4CC274CE}"/>
    <cellStyle name="Normal 4 7 6" xfId="2469" xr:uid="{0DA17CEE-83E9-4663-A93D-B87A3F0DE97A}"/>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3" xfId="2476" xr:uid="{F0D04844-AD76-43F4-A23E-5F6D3DFE9EFC}"/>
    <cellStyle name="Normal 4 8 3" xfId="1882" xr:uid="{B704E103-0C78-4F51-A269-B219C8C5EACD}"/>
    <cellStyle name="Normal 4 8 3 2" xfId="2720" xr:uid="{358CE768-6715-4304-9F6D-E28762CF3F7B}"/>
    <cellStyle name="Normal 4 8 4" xfId="2475" xr:uid="{C0E8D20C-B9AE-41A3-BC22-9F97F8E30C41}"/>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3" xfId="2478" xr:uid="{F4C734D3-5096-482B-8689-A913EE72ECB8}"/>
    <cellStyle name="Normal 4 9 3" xfId="1883" xr:uid="{3A33CAD0-CC6D-4D5D-B42C-78BF7D0C51F5}"/>
    <cellStyle name="Normal 4 9 3 2" xfId="2721" xr:uid="{4A5C4AF6-2976-4AF4-9B65-7342A5EA4388}"/>
    <cellStyle name="Normal 4 9 4" xfId="2477" xr:uid="{35FF2734-CDF3-4E47-8BFE-33CDDDC85BF2}"/>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1" xfId="2479" xr:uid="{C26C9D8F-F8AF-4EBB-9229-6D8E12FDC96C}"/>
    <cellStyle name="Normal 5 12" xfId="1451" xr:uid="{37A0B83C-AF6A-4FA9-9082-8F525E6BF3AC}"/>
    <cellStyle name="Normal 5 2" xfId="238" xr:uid="{00000000-0005-0000-0000-0000B9010000}"/>
    <cellStyle name="Normal 5 2 10" xfId="1452" xr:uid="{B345E12F-17F1-4A0B-8BC7-874CE4D3D51B}"/>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3" xfId="2057" xr:uid="{204ACA08-09E5-46E2-AEBA-105B0418E9C9}"/>
    <cellStyle name="Normal 5 2 2 2 2 2 3" xfId="769" xr:uid="{00000000-0005-0000-0000-0000C0010000}"/>
    <cellStyle name="Normal 5 2 2 2 2 2 3 2" xfId="2484" xr:uid="{6C79D472-4AB0-4D02-851E-40CE9EFCE663}"/>
    <cellStyle name="Normal 5 2 2 2 2 2 4" xfId="1456" xr:uid="{C9665ABD-B1B5-4347-A3E7-DD7E5A7C7A5D}"/>
    <cellStyle name="Normal 5 2 2 2 2 3" xfId="612" xr:uid="{00000000-0005-0000-0000-0000C1010000}"/>
    <cellStyle name="Normal 5 2 2 2 2 3 2" xfId="823" xr:uid="{00000000-0005-0000-0000-0000C2010000}"/>
    <cellStyle name="Normal 5 2 2 2 2 3 2 2" xfId="2725" xr:uid="{5DFEC5AC-B65F-4415-ACD7-2F6FCA3936ED}"/>
    <cellStyle name="Normal 5 2 2 2 2 3 3" xfId="1887" xr:uid="{26117F46-18A8-4F58-BEE2-F6FDB9AE8D26}"/>
    <cellStyle name="Normal 5 2 2 2 2 4" xfId="717" xr:uid="{00000000-0005-0000-0000-0000C3010000}"/>
    <cellStyle name="Normal 5 2 2 2 2 4 2" xfId="2483" xr:uid="{789506B2-52C1-49F9-9775-70EF8C7B4FDA}"/>
    <cellStyle name="Normal 5 2 2 2 2 5" xfId="1455" xr:uid="{63AC2AE2-E42C-4DAB-A09E-6711B6615F81}"/>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3" xfId="2058" xr:uid="{DEACB3E0-9634-482A-AF7B-C51926D36A7C}"/>
    <cellStyle name="Normal 5 2 2 2 3 2 3" xfId="2486" xr:uid="{CFEF161E-9FE0-49C0-9167-5D529D218C4E}"/>
    <cellStyle name="Normal 5 2 2 2 3 2 4" xfId="1458" xr:uid="{EE2EEC5F-D162-4254-BA76-EF8DB7EEB619}"/>
    <cellStyle name="Normal 5 2 2 2 3 3" xfId="743" xr:uid="{00000000-0005-0000-0000-0000C7010000}"/>
    <cellStyle name="Normal 5 2 2 2 3 3 2" xfId="2726" xr:uid="{B82F4081-33CB-4FDF-B6C5-5A6E5CD3D714}"/>
    <cellStyle name="Normal 5 2 2 2 3 3 3" xfId="1888" xr:uid="{DBF11B20-66BB-43EA-923A-FE1F2F6CB409}"/>
    <cellStyle name="Normal 5 2 2 2 3 4" xfId="2485" xr:uid="{9C9EE4C6-EA6A-42BD-A6BE-2FCD5C39F369}"/>
    <cellStyle name="Normal 5 2 2 2 3 5" xfId="1457" xr:uid="{1AB55730-1E42-403B-84F2-4CE6AD2FF437}"/>
    <cellStyle name="Normal 5 2 2 2 4" xfId="586" xr:uid="{00000000-0005-0000-0000-0000C8010000}"/>
    <cellStyle name="Normal 5 2 2 2 4 2" xfId="797" xr:uid="{00000000-0005-0000-0000-0000C9010000}"/>
    <cellStyle name="Normal 5 2 2 2 4 2 2" xfId="2894" xr:uid="{8721304C-C15F-46F5-8634-0110A42D9BE6}"/>
    <cellStyle name="Normal 5 2 2 2 4 2 3" xfId="2056" xr:uid="{A36E88A1-E9CB-44FA-BDAE-1B1978155031}"/>
    <cellStyle name="Normal 5 2 2 2 4 3" xfId="2487" xr:uid="{2F7BBA1E-0AB5-4668-B292-F68A8FAE0D7B}"/>
    <cellStyle name="Normal 5 2 2 2 4 4" xfId="1459" xr:uid="{80C1D847-F105-49C0-BA8B-657ED51C3749}"/>
    <cellStyle name="Normal 5 2 2 2 5" xfId="691" xr:uid="{00000000-0005-0000-0000-0000CA010000}"/>
    <cellStyle name="Normal 5 2 2 2 5 2" xfId="2724" xr:uid="{9C6486A8-FD0D-466C-A810-27D0C5EC064A}"/>
    <cellStyle name="Normal 5 2 2 2 5 3" xfId="1886" xr:uid="{0C098C09-004B-419C-B53D-AA179EDE2FE0}"/>
    <cellStyle name="Normal 5 2 2 2 6" xfId="2482" xr:uid="{6A5F0431-D6B8-4361-AC16-4E0E19434E81}"/>
    <cellStyle name="Normal 5 2 2 2 7" xfId="1454" xr:uid="{716D35EE-6F6E-4F2A-8711-9B21DE7CEA3D}"/>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3" xfId="2897" xr:uid="{FD99C5EC-B4FD-4E60-82F5-B14BFFBA1920}"/>
    <cellStyle name="Normal 5 2 2 3 2 2 3" xfId="778" xr:uid="{00000000-0005-0000-0000-0000D0010000}"/>
    <cellStyle name="Normal 5 2 2 3 2 2 4" xfId="2059" xr:uid="{C639309B-B139-4ABB-8EA4-B9A48EBB2EEC}"/>
    <cellStyle name="Normal 5 2 2 3 2 3" xfId="621" xr:uid="{00000000-0005-0000-0000-0000D1010000}"/>
    <cellStyle name="Normal 5 2 2 3 2 3 2" xfId="832" xr:uid="{00000000-0005-0000-0000-0000D2010000}"/>
    <cellStyle name="Normal 5 2 2 3 2 3 3" xfId="2489" xr:uid="{9CFC7D29-396E-41FD-B4EE-1A0F7DD76644}"/>
    <cellStyle name="Normal 5 2 2 3 2 4" xfId="726" xr:uid="{00000000-0005-0000-0000-0000D3010000}"/>
    <cellStyle name="Normal 5 2 2 3 2 5" xfId="1461" xr:uid="{8C7F834B-B769-43A6-B67B-4DB9B911AB61}"/>
    <cellStyle name="Normal 5 2 2 3 3" xfId="491" xr:uid="{00000000-0005-0000-0000-0000D4010000}"/>
    <cellStyle name="Normal 5 2 2 3 3 2" xfId="647" xr:uid="{00000000-0005-0000-0000-0000D5010000}"/>
    <cellStyle name="Normal 5 2 2 3 3 2 2" xfId="858" xr:uid="{00000000-0005-0000-0000-0000D6010000}"/>
    <cellStyle name="Normal 5 2 2 3 3 2 3" xfId="2727" xr:uid="{19CDFF11-7329-4AA1-9CBD-D750DB859E14}"/>
    <cellStyle name="Normal 5 2 2 3 3 3" xfId="752" xr:uid="{00000000-0005-0000-0000-0000D7010000}"/>
    <cellStyle name="Normal 5 2 2 3 3 4" xfId="1889" xr:uid="{8E38AF2D-15BE-4F4A-AD05-A70A49C70939}"/>
    <cellStyle name="Normal 5 2 2 3 4" xfId="595" xr:uid="{00000000-0005-0000-0000-0000D8010000}"/>
    <cellStyle name="Normal 5 2 2 3 4 2" xfId="806" xr:uid="{00000000-0005-0000-0000-0000D9010000}"/>
    <cellStyle name="Normal 5 2 2 3 4 3" xfId="2488" xr:uid="{E0152DFB-6ECB-4ECA-85F6-5345BDB0D48F}"/>
    <cellStyle name="Normal 5 2 2 3 5" xfId="700" xr:uid="{00000000-0005-0000-0000-0000DA010000}"/>
    <cellStyle name="Normal 5 2 2 3 6" xfId="1460" xr:uid="{CE596074-7EF5-49B9-96D2-20D4AD617E7F}"/>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3" xfId="2060" xr:uid="{A613A8DD-12E4-4476-9BC8-68B3598AEBFD}"/>
    <cellStyle name="Normal 5 2 2 4 2 3" xfId="761" xr:uid="{00000000-0005-0000-0000-0000DF010000}"/>
    <cellStyle name="Normal 5 2 2 4 2 3 2" xfId="2491" xr:uid="{EC29C2D2-F545-47EB-8F97-24FBB613D7EB}"/>
    <cellStyle name="Normal 5 2 2 4 2 4" xfId="1463" xr:uid="{55773854-0F61-4763-8936-45520294D14C}"/>
    <cellStyle name="Normal 5 2 2 4 3" xfId="604" xr:uid="{00000000-0005-0000-0000-0000E0010000}"/>
    <cellStyle name="Normal 5 2 2 4 3 2" xfId="815" xr:uid="{00000000-0005-0000-0000-0000E1010000}"/>
    <cellStyle name="Normal 5 2 2 4 3 2 2" xfId="2728" xr:uid="{D873E091-CA3D-4277-9DD5-8510F3F3B477}"/>
    <cellStyle name="Normal 5 2 2 4 3 3" xfId="1890" xr:uid="{14B122AF-6F28-430B-B68F-4A9C0B1D9364}"/>
    <cellStyle name="Normal 5 2 2 4 4" xfId="709" xr:uid="{00000000-0005-0000-0000-0000E2010000}"/>
    <cellStyle name="Normal 5 2 2 4 4 2" xfId="2490" xr:uid="{DBAE2489-BA0B-4A10-B155-43E4BFF94EB8}"/>
    <cellStyle name="Normal 5 2 2 4 5" xfId="1462" xr:uid="{53C56C6B-3807-42CD-AEE7-ED48643937CE}"/>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3" xfId="2055" xr:uid="{98CFCF67-5644-4BA8-A8F8-8598294E4793}"/>
    <cellStyle name="Normal 5 2 2 5 3" xfId="735" xr:uid="{00000000-0005-0000-0000-0000E6010000}"/>
    <cellStyle name="Normal 5 2 2 5 3 2" xfId="2492" xr:uid="{55BCA6B3-668C-4329-9ADF-75153BD35FF5}"/>
    <cellStyle name="Normal 5 2 2 5 4" xfId="1464" xr:uid="{A943F9D7-3D30-4727-9D44-FCF0EC3B98DB}"/>
    <cellStyle name="Normal 5 2 2 6" xfId="578" xr:uid="{00000000-0005-0000-0000-0000E7010000}"/>
    <cellStyle name="Normal 5 2 2 6 2" xfId="789" xr:uid="{00000000-0005-0000-0000-0000E8010000}"/>
    <cellStyle name="Normal 5 2 2 6 2 2" xfId="2723" xr:uid="{76F91FA2-98DD-4FC3-97C5-CFD981FFA9C0}"/>
    <cellStyle name="Normal 5 2 2 6 3" xfId="1885" xr:uid="{19BF3FEB-DC84-4FEA-8C73-22B10A623EDD}"/>
    <cellStyle name="Normal 5 2 2 7" xfId="683" xr:uid="{00000000-0005-0000-0000-0000E9010000}"/>
    <cellStyle name="Normal 5 2 2 7 2" xfId="2481" xr:uid="{E4E7EE13-FDF7-4EF5-ABD8-C1FCB2D1DA56}"/>
    <cellStyle name="Normal 5 2 2 8" xfId="1453" xr:uid="{D632EE85-A0F2-491A-9672-464194DBAD3C}"/>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3" xfId="2062" xr:uid="{6FAB7188-BD75-4E34-97F6-3FB67777CEA6}"/>
    <cellStyle name="Normal 5 2 3 2 2 3" xfId="765" xr:uid="{00000000-0005-0000-0000-0000EF010000}"/>
    <cellStyle name="Normal 5 2 3 2 2 3 2" xfId="2495" xr:uid="{0FAEE644-D693-428C-9BA0-4534B89238E3}"/>
    <cellStyle name="Normal 5 2 3 2 2 4" xfId="1467" xr:uid="{B7B1353A-80DD-4D43-98C9-6241D417B739}"/>
    <cellStyle name="Normal 5 2 3 2 3" xfId="608" xr:uid="{00000000-0005-0000-0000-0000F0010000}"/>
    <cellStyle name="Normal 5 2 3 2 3 2" xfId="819" xr:uid="{00000000-0005-0000-0000-0000F1010000}"/>
    <cellStyle name="Normal 5 2 3 2 3 2 2" xfId="2730" xr:uid="{BAB908B1-CDCC-49B3-BAF7-7B1ADC3E19BC}"/>
    <cellStyle name="Normal 5 2 3 2 3 3" xfId="1892" xr:uid="{B14FE6C6-813E-4DC4-9C17-C4D58B062315}"/>
    <cellStyle name="Normal 5 2 3 2 4" xfId="713" xr:uid="{00000000-0005-0000-0000-0000F2010000}"/>
    <cellStyle name="Normal 5 2 3 2 4 2" xfId="2494" xr:uid="{2C7A1866-8A2E-4010-92C7-C0C7DE1E0A24}"/>
    <cellStyle name="Normal 5 2 3 2 5" xfId="1466" xr:uid="{E1AFF7B3-330F-4BD8-B052-8C10BD2386AB}"/>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3" xfId="2063" xr:uid="{12385839-BA24-4D08-81E4-A783971D5A87}"/>
    <cellStyle name="Normal 5 2 3 3 2 3" xfId="2497" xr:uid="{551F0BFE-190C-494C-B003-793F511C8BF2}"/>
    <cellStyle name="Normal 5 2 3 3 2 4" xfId="1469" xr:uid="{01B1780D-BDE4-4010-B61A-A998E93BBD32}"/>
    <cellStyle name="Normal 5 2 3 3 3" xfId="739" xr:uid="{00000000-0005-0000-0000-0000F6010000}"/>
    <cellStyle name="Normal 5 2 3 3 3 2" xfId="2731" xr:uid="{79BA05C8-F209-4AB1-9CE1-D7B73E0290BC}"/>
    <cellStyle name="Normal 5 2 3 3 3 3" xfId="1893" xr:uid="{7960F10D-F398-4F4D-A231-37B96929C42D}"/>
    <cellStyle name="Normal 5 2 3 3 4" xfId="2496" xr:uid="{7FF56824-2E0C-4D6E-9A1F-DFC1080BF221}"/>
    <cellStyle name="Normal 5 2 3 3 5" xfId="1468" xr:uid="{02BBD94B-7AF1-45F0-AD4E-70C9E3534BEA}"/>
    <cellStyle name="Normal 5 2 3 4" xfId="582" xr:uid="{00000000-0005-0000-0000-0000F7010000}"/>
    <cellStyle name="Normal 5 2 3 4 2" xfId="793" xr:uid="{00000000-0005-0000-0000-0000F8010000}"/>
    <cellStyle name="Normal 5 2 3 4 2 2" xfId="2899" xr:uid="{ADE22372-0038-40A4-895E-F773DB310D85}"/>
    <cellStyle name="Normal 5 2 3 4 2 3" xfId="2061" xr:uid="{AE2DB97C-9F42-49C0-9EDF-8F8A786DDEC2}"/>
    <cellStyle name="Normal 5 2 3 4 3" xfId="2498" xr:uid="{A926BB4D-B9D2-4C47-85B9-583224976F78}"/>
    <cellStyle name="Normal 5 2 3 4 4" xfId="1470" xr:uid="{B538ECAA-5D7A-4AC0-9F26-E8D339DDD947}"/>
    <cellStyle name="Normal 5 2 3 5" xfId="687" xr:uid="{00000000-0005-0000-0000-0000F9010000}"/>
    <cellStyle name="Normal 5 2 3 5 2" xfId="2729" xr:uid="{EAB7323E-7677-4D52-8D89-04DCDC32452A}"/>
    <cellStyle name="Normal 5 2 3 5 3" xfId="1891" xr:uid="{9FEE6AA4-4934-498C-8DCB-D3192BCAE884}"/>
    <cellStyle name="Normal 5 2 3 6" xfId="2493" xr:uid="{105B711D-991E-4290-9586-1764A7F6CC66}"/>
    <cellStyle name="Normal 5 2 3 7" xfId="1465" xr:uid="{27DE05A7-9A5F-4965-9ED5-00387DE8D8ED}"/>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3" xfId="2902" xr:uid="{F4BEC291-21C4-494A-BE59-8D0FA94FCC46}"/>
    <cellStyle name="Normal 5 2 4 2 2 3" xfId="774" xr:uid="{00000000-0005-0000-0000-0000FF010000}"/>
    <cellStyle name="Normal 5 2 4 2 2 4" xfId="2064" xr:uid="{7040AC77-29E5-423C-9DD2-40D38B367B5D}"/>
    <cellStyle name="Normal 5 2 4 2 3" xfId="617" xr:uid="{00000000-0005-0000-0000-000000020000}"/>
    <cellStyle name="Normal 5 2 4 2 3 2" xfId="828" xr:uid="{00000000-0005-0000-0000-000001020000}"/>
    <cellStyle name="Normal 5 2 4 2 3 3" xfId="2500" xr:uid="{378D6134-7E7D-4CEE-B7AD-FCD4B9ABBFD1}"/>
    <cellStyle name="Normal 5 2 4 2 4" xfId="722" xr:uid="{00000000-0005-0000-0000-000002020000}"/>
    <cellStyle name="Normal 5 2 4 2 5" xfId="1472" xr:uid="{530D4D26-EA88-4A82-8E36-C59BD14D4728}"/>
    <cellStyle name="Normal 5 2 4 3" xfId="487" xr:uid="{00000000-0005-0000-0000-000003020000}"/>
    <cellStyle name="Normal 5 2 4 3 2" xfId="643" xr:uid="{00000000-0005-0000-0000-000004020000}"/>
    <cellStyle name="Normal 5 2 4 3 2 2" xfId="854" xr:uid="{00000000-0005-0000-0000-000005020000}"/>
    <cellStyle name="Normal 5 2 4 3 2 3" xfId="2732" xr:uid="{1B91A9A9-DD9D-47FF-8AA6-FBD83B801D17}"/>
    <cellStyle name="Normal 5 2 4 3 3" xfId="748" xr:uid="{00000000-0005-0000-0000-000006020000}"/>
    <cellStyle name="Normal 5 2 4 3 4" xfId="1894" xr:uid="{5075E8A1-04D4-41A5-92C8-FD152B4753FD}"/>
    <cellStyle name="Normal 5 2 4 4" xfId="591" xr:uid="{00000000-0005-0000-0000-000007020000}"/>
    <cellStyle name="Normal 5 2 4 4 2" xfId="802" xr:uid="{00000000-0005-0000-0000-000008020000}"/>
    <cellStyle name="Normal 5 2 4 4 3" xfId="2499" xr:uid="{7905445C-7173-4222-940D-491365CEC5CC}"/>
    <cellStyle name="Normal 5 2 4 5" xfId="696" xr:uid="{00000000-0005-0000-0000-000009020000}"/>
    <cellStyle name="Normal 5 2 4 6" xfId="1471" xr:uid="{6F816BAF-DC2A-485A-8CE9-011043090C91}"/>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3" xfId="2065" xr:uid="{237DDF50-8DFC-44C5-85FA-F107F8015090}"/>
    <cellStyle name="Normal 5 2 5 2 3" xfId="757" xr:uid="{00000000-0005-0000-0000-00000E020000}"/>
    <cellStyle name="Normal 5 2 5 2 3 2" xfId="2502" xr:uid="{F4AD6C79-4FF5-4886-83EF-DE9948101D29}"/>
    <cellStyle name="Normal 5 2 5 2 4" xfId="1474" xr:uid="{6DF9288D-7D8C-4F63-9814-83BDADC6D391}"/>
    <cellStyle name="Normal 5 2 5 3" xfId="600" xr:uid="{00000000-0005-0000-0000-00000F020000}"/>
    <cellStyle name="Normal 5 2 5 3 2" xfId="811" xr:uid="{00000000-0005-0000-0000-000010020000}"/>
    <cellStyle name="Normal 5 2 5 3 2 2" xfId="2733" xr:uid="{0ED8573C-830C-4EF9-9B77-100A675A52E7}"/>
    <cellStyle name="Normal 5 2 5 3 3" xfId="1895" xr:uid="{C3C9BC4C-5BFE-4DCD-9B9D-7C9DFC32ABBF}"/>
    <cellStyle name="Normal 5 2 5 4" xfId="705" xr:uid="{00000000-0005-0000-0000-000011020000}"/>
    <cellStyle name="Normal 5 2 5 4 2" xfId="2501" xr:uid="{C3C45496-005B-4DCE-98F4-8BE72951ACFE}"/>
    <cellStyle name="Normal 5 2 5 5" xfId="1473" xr:uid="{47AA79EE-E2E6-4564-B87A-215764F5B752}"/>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3" xfId="2054" xr:uid="{94D1054A-7A84-43AD-AF06-243A17622208}"/>
    <cellStyle name="Normal 5 2 6 3" xfId="731" xr:uid="{00000000-0005-0000-0000-000015020000}"/>
    <cellStyle name="Normal 5 2 6 3 2" xfId="2503" xr:uid="{8B95027A-D8AD-446D-A18A-AD34CAD77CAC}"/>
    <cellStyle name="Normal 5 2 6 4" xfId="1475" xr:uid="{9C6705D3-00CD-4073-8793-4FD00BCAA3D2}"/>
    <cellStyle name="Normal 5 2 7" xfId="574" xr:uid="{00000000-0005-0000-0000-000016020000}"/>
    <cellStyle name="Normal 5 2 7 2" xfId="785" xr:uid="{00000000-0005-0000-0000-000017020000}"/>
    <cellStyle name="Normal 5 2 7 2 2" xfId="2722" xr:uid="{AB4D8A44-93B5-4874-9715-752218846DD1}"/>
    <cellStyle name="Normal 5 2 7 3" xfId="1884" xr:uid="{ED964A47-6AE7-4CAC-9F2B-A37C894FB1BE}"/>
    <cellStyle name="Normal 5 2 8" xfId="679" xr:uid="{00000000-0005-0000-0000-000018020000}"/>
    <cellStyle name="Normal 5 2 8 2" xfId="2240" xr:uid="{B0A293CB-FF2D-4A5D-93F3-5E715A409691}"/>
    <cellStyle name="Normal 5 2 9" xfId="2480" xr:uid="{0BD1D395-D750-4B79-BDC3-2221C8B12C4C}"/>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3" xfId="2067" xr:uid="{E09FFE0B-2777-461D-9899-21B44832AC8F}"/>
    <cellStyle name="Normal 5 3 2 2 2 3" xfId="767" xr:uid="{00000000-0005-0000-0000-00001F020000}"/>
    <cellStyle name="Normal 5 3 2 2 2 3 2" xfId="2506" xr:uid="{34FEC0F5-93DF-4135-A598-DEB93123A834}"/>
    <cellStyle name="Normal 5 3 2 2 2 4" xfId="1479" xr:uid="{BF14F7C7-5188-4CAC-9026-E329AC71FA27}"/>
    <cellStyle name="Normal 5 3 2 2 3" xfId="610" xr:uid="{00000000-0005-0000-0000-000020020000}"/>
    <cellStyle name="Normal 5 3 2 2 3 2" xfId="821" xr:uid="{00000000-0005-0000-0000-000021020000}"/>
    <cellStyle name="Normal 5 3 2 2 3 2 2" xfId="2735" xr:uid="{7007D841-94B8-4517-85FD-74259C3FBFD4}"/>
    <cellStyle name="Normal 5 3 2 2 3 3" xfId="1897" xr:uid="{557C8FD9-C67B-4272-957D-5F83EF5628CF}"/>
    <cellStyle name="Normal 5 3 2 2 4" xfId="715" xr:uid="{00000000-0005-0000-0000-000022020000}"/>
    <cellStyle name="Normal 5 3 2 2 4 2" xfId="2505" xr:uid="{C7B56D19-68FF-4E15-8FDF-15185B913AA5}"/>
    <cellStyle name="Normal 5 3 2 2 5" xfId="1478" xr:uid="{4D30AA7A-F3F3-4D69-9DC4-39729FB3F0BD}"/>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3" xfId="2068" xr:uid="{15C865CF-3A72-4D3A-989D-60920341CAD2}"/>
    <cellStyle name="Normal 5 3 2 3 2 3" xfId="2508" xr:uid="{88F943E9-7A07-44A8-852C-1F0A30D2836B}"/>
    <cellStyle name="Normal 5 3 2 3 2 4" xfId="1481" xr:uid="{32AFD444-0CA0-472D-BDF3-A537E1177792}"/>
    <cellStyle name="Normal 5 3 2 3 3" xfId="741" xr:uid="{00000000-0005-0000-0000-000026020000}"/>
    <cellStyle name="Normal 5 3 2 3 3 2" xfId="2736" xr:uid="{375AA0D8-A473-4155-AB4A-E537C10C84AA}"/>
    <cellStyle name="Normal 5 3 2 3 3 3" xfId="1898" xr:uid="{72881647-2160-406C-83D5-018A9FCA8947}"/>
    <cellStyle name="Normal 5 3 2 3 4" xfId="2507" xr:uid="{E474728F-4506-4CE4-B5E8-E52249709289}"/>
    <cellStyle name="Normal 5 3 2 3 5" xfId="1480" xr:uid="{76DE6850-9618-48F4-85E1-CB17C4019CD6}"/>
    <cellStyle name="Normal 5 3 2 4" xfId="584" xr:uid="{00000000-0005-0000-0000-000027020000}"/>
    <cellStyle name="Normal 5 3 2 4 2" xfId="795" xr:uid="{00000000-0005-0000-0000-000028020000}"/>
    <cellStyle name="Normal 5 3 2 4 2 2" xfId="2904" xr:uid="{7B63F3B2-0691-4068-A879-FFF30213A5DF}"/>
    <cellStyle name="Normal 5 3 2 4 2 3" xfId="2066" xr:uid="{F368123C-949C-4E23-8F48-A38105BB4DC5}"/>
    <cellStyle name="Normal 5 3 2 4 3" xfId="2509" xr:uid="{DE1A5BA0-F39C-4CC6-8BF5-BEEAA0495509}"/>
    <cellStyle name="Normal 5 3 2 4 4" xfId="1482" xr:uid="{36C985FA-7A32-4D02-AB97-BDDCDC0BA53C}"/>
    <cellStyle name="Normal 5 3 2 5" xfId="689" xr:uid="{00000000-0005-0000-0000-000029020000}"/>
    <cellStyle name="Normal 5 3 2 5 2" xfId="2734" xr:uid="{1AD61E4E-A58E-4CD7-942C-8F46BAAEF4D6}"/>
    <cellStyle name="Normal 5 3 2 5 3" xfId="1896" xr:uid="{CEAD9501-2DAE-4A50-9098-86D9691B05F4}"/>
    <cellStyle name="Normal 5 3 2 6" xfId="2504" xr:uid="{9F90B0C3-F749-44E7-BD2D-494D21FFD158}"/>
    <cellStyle name="Normal 5 3 2 7" xfId="1477" xr:uid="{A49D2BAE-4F77-4B6C-9AFB-584269182511}"/>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3" xfId="2907" xr:uid="{FED92EFF-F004-4AB8-A43E-9F87207F2477}"/>
    <cellStyle name="Normal 5 3 3 2 2 3" xfId="776" xr:uid="{00000000-0005-0000-0000-00002F020000}"/>
    <cellStyle name="Normal 5 3 3 2 2 4" xfId="2069" xr:uid="{9E8B92A4-0A24-448A-852A-61045F3C596D}"/>
    <cellStyle name="Normal 5 3 3 2 3" xfId="619" xr:uid="{00000000-0005-0000-0000-000030020000}"/>
    <cellStyle name="Normal 5 3 3 2 3 2" xfId="830" xr:uid="{00000000-0005-0000-0000-000031020000}"/>
    <cellStyle name="Normal 5 3 3 2 3 3" xfId="2511" xr:uid="{024C6A05-0961-4FC3-A988-0B39742B3598}"/>
    <cellStyle name="Normal 5 3 3 2 4" xfId="724" xr:uid="{00000000-0005-0000-0000-000032020000}"/>
    <cellStyle name="Normal 5 3 3 2 5" xfId="1484" xr:uid="{43A2333E-70CD-4505-8A17-87D483D1A922}"/>
    <cellStyle name="Normal 5 3 3 3" xfId="489" xr:uid="{00000000-0005-0000-0000-000033020000}"/>
    <cellStyle name="Normal 5 3 3 3 2" xfId="645" xr:uid="{00000000-0005-0000-0000-000034020000}"/>
    <cellStyle name="Normal 5 3 3 3 2 2" xfId="856" xr:uid="{00000000-0005-0000-0000-000035020000}"/>
    <cellStyle name="Normal 5 3 3 3 2 3" xfId="2737" xr:uid="{BB94A5AA-624C-4B1D-AB1B-207FE5713B44}"/>
    <cellStyle name="Normal 5 3 3 3 3" xfId="750" xr:uid="{00000000-0005-0000-0000-000036020000}"/>
    <cellStyle name="Normal 5 3 3 3 4" xfId="1899" xr:uid="{DB271AFA-8958-463E-9AD1-F485EBEA4ED2}"/>
    <cellStyle name="Normal 5 3 3 4" xfId="593" xr:uid="{00000000-0005-0000-0000-000037020000}"/>
    <cellStyle name="Normal 5 3 3 4 2" xfId="804" xr:uid="{00000000-0005-0000-0000-000038020000}"/>
    <cellStyle name="Normal 5 3 3 4 3" xfId="2510" xr:uid="{CC5DF59F-77FA-404B-B029-61BBD5AA8FD3}"/>
    <cellStyle name="Normal 5 3 3 5" xfId="698" xr:uid="{00000000-0005-0000-0000-000039020000}"/>
    <cellStyle name="Normal 5 3 3 6" xfId="1483" xr:uid="{CC7440F1-8296-4789-86A6-DBE83A3D07BB}"/>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3" xfId="2070" xr:uid="{C3E83E2E-3F04-4258-9AC4-1B58536583F4}"/>
    <cellStyle name="Normal 5 3 4 2 3" xfId="759" xr:uid="{00000000-0005-0000-0000-00003E020000}"/>
    <cellStyle name="Normal 5 3 4 2 3 2" xfId="2513" xr:uid="{83F99F57-A20D-47FE-9F4D-E9C0800104CD}"/>
    <cellStyle name="Normal 5 3 4 2 4" xfId="1486" xr:uid="{352165A9-24B5-473A-A091-F65ED06A582B}"/>
    <cellStyle name="Normal 5 3 4 3" xfId="602" xr:uid="{00000000-0005-0000-0000-00003F020000}"/>
    <cellStyle name="Normal 5 3 4 3 2" xfId="813" xr:uid="{00000000-0005-0000-0000-000040020000}"/>
    <cellStyle name="Normal 5 3 4 3 2 2" xfId="2738" xr:uid="{072ABA06-D777-436C-992C-50BF2F955C11}"/>
    <cellStyle name="Normal 5 3 4 3 3" xfId="1900" xr:uid="{1FB3B786-FD6E-4FE1-9937-2F5B17B1FBFE}"/>
    <cellStyle name="Normal 5 3 4 4" xfId="707" xr:uid="{00000000-0005-0000-0000-000041020000}"/>
    <cellStyle name="Normal 5 3 4 4 2" xfId="2512" xr:uid="{504D2D35-891C-4D52-9900-66D415EA56EB}"/>
    <cellStyle name="Normal 5 3 4 5" xfId="1485" xr:uid="{D9C185C2-2A79-4627-A634-AF26022777D6}"/>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3 8" xfId="1476" xr:uid="{C3F50E7A-3478-4DC5-BA1E-02C9D0E00766}"/>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3" xfId="2072" xr:uid="{F9DB3EE8-0281-47DA-9C51-4378067B762D}"/>
    <cellStyle name="Normal 5 4 2 2 3" xfId="763" xr:uid="{00000000-0005-0000-0000-00004E020000}"/>
    <cellStyle name="Normal 5 4 2 2 3 2" xfId="2516" xr:uid="{9271B195-2F52-4C31-B5C5-FC128F73FD0F}"/>
    <cellStyle name="Normal 5 4 2 2 4" xfId="1489" xr:uid="{F241C311-FF85-44A8-AE00-4BAE74186B2D}"/>
    <cellStyle name="Normal 5 4 2 3" xfId="606" xr:uid="{00000000-0005-0000-0000-00004F020000}"/>
    <cellStyle name="Normal 5 4 2 3 2" xfId="817" xr:uid="{00000000-0005-0000-0000-000050020000}"/>
    <cellStyle name="Normal 5 4 2 3 2 2" xfId="2740" xr:uid="{C223F2EA-3F07-40C4-B9DB-ECCB0616C835}"/>
    <cellStyle name="Normal 5 4 2 3 3" xfId="1902" xr:uid="{066410FA-ADBC-48F0-8790-6132C90ACA5C}"/>
    <cellStyle name="Normal 5 4 2 4" xfId="711" xr:uid="{00000000-0005-0000-0000-000051020000}"/>
    <cellStyle name="Normal 5 4 2 4 2" xfId="2515" xr:uid="{A9192333-71A5-46B8-951E-CE8E503D9410}"/>
    <cellStyle name="Normal 5 4 2 5" xfId="1488" xr:uid="{16EB2FD0-81CA-4228-A80D-1EC951C46819}"/>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3" xfId="2073" xr:uid="{95AC8AD6-C4F2-4E58-8045-1257E1394637}"/>
    <cellStyle name="Normal 5 4 3 2 3" xfId="2518" xr:uid="{92073405-172E-4DED-AE07-3E02CBDABFEF}"/>
    <cellStyle name="Normal 5 4 3 2 4" xfId="1491" xr:uid="{F0930CDE-8ED7-4F50-8BD8-A15A4FD2EA6E}"/>
    <cellStyle name="Normal 5 4 3 3" xfId="737" xr:uid="{00000000-0005-0000-0000-000055020000}"/>
    <cellStyle name="Normal 5 4 3 3 2" xfId="2741" xr:uid="{33FD0741-219E-451D-BAF2-E3C738270A4E}"/>
    <cellStyle name="Normal 5 4 3 3 3" xfId="1903" xr:uid="{D28835A3-66DB-447D-A306-B31935B79B1C}"/>
    <cellStyle name="Normal 5 4 3 4" xfId="2517" xr:uid="{7636130F-C454-48F8-83A7-AA22A7854ACA}"/>
    <cellStyle name="Normal 5 4 3 5" xfId="1490" xr:uid="{268F588D-E882-484F-A634-7BF4FB73BD11}"/>
    <cellStyle name="Normal 5 4 4" xfId="580" xr:uid="{00000000-0005-0000-0000-000056020000}"/>
    <cellStyle name="Normal 5 4 4 2" xfId="791" xr:uid="{00000000-0005-0000-0000-000057020000}"/>
    <cellStyle name="Normal 5 4 4 2 2" xfId="2909" xr:uid="{F1B3D911-7A4D-4D33-932A-2148E35B932F}"/>
    <cellStyle name="Normal 5 4 4 2 3" xfId="2071" xr:uid="{90DE3BFB-F936-4D0A-BD49-412DF87AD4AF}"/>
    <cellStyle name="Normal 5 4 4 3" xfId="2519" xr:uid="{6814017C-57C0-43A6-817B-CE9F052428D8}"/>
    <cellStyle name="Normal 5 4 4 4" xfId="1492" xr:uid="{F447ECC3-C3F3-4636-BC04-E2EA26EE7D7A}"/>
    <cellStyle name="Normal 5 4 5" xfId="685" xr:uid="{00000000-0005-0000-0000-000058020000}"/>
    <cellStyle name="Normal 5 4 5 2" xfId="2739" xr:uid="{92231D32-5EB9-4D24-BA32-648CFFC008A2}"/>
    <cellStyle name="Normal 5 4 5 3" xfId="1901" xr:uid="{30A82EDE-386F-4AA1-AA19-5E0326A9B9B1}"/>
    <cellStyle name="Normal 5 4 6" xfId="2514" xr:uid="{AF37760F-22D0-4079-AFEE-53ACE454A607}"/>
    <cellStyle name="Normal 5 4 7" xfId="1487" xr:uid="{5CC29D29-3D6A-4DCA-BD06-7776078B1745}"/>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3" xfId="2912" xr:uid="{FAC68542-9D5A-4ABD-89B3-9DAD38D1AE7B}"/>
    <cellStyle name="Normal 5 5 2 2 3" xfId="772" xr:uid="{00000000-0005-0000-0000-00005E020000}"/>
    <cellStyle name="Normal 5 5 2 2 4" xfId="2074" xr:uid="{CF8E40F2-3337-44ED-867E-43C195C3EB78}"/>
    <cellStyle name="Normal 5 5 2 3" xfId="615" xr:uid="{00000000-0005-0000-0000-00005F020000}"/>
    <cellStyle name="Normal 5 5 2 3 2" xfId="826" xr:uid="{00000000-0005-0000-0000-000060020000}"/>
    <cellStyle name="Normal 5 5 2 3 3" xfId="2521" xr:uid="{6C6AD6E1-4874-4E7F-A3CB-F11D9D03C97A}"/>
    <cellStyle name="Normal 5 5 2 4" xfId="720" xr:uid="{00000000-0005-0000-0000-000061020000}"/>
    <cellStyle name="Normal 5 5 2 5" xfId="1494" xr:uid="{8AD0CF6C-7647-4823-8EA4-1FC1E9A6C3DF}"/>
    <cellStyle name="Normal 5 5 3" xfId="485" xr:uid="{00000000-0005-0000-0000-000062020000}"/>
    <cellStyle name="Normal 5 5 3 2" xfId="641" xr:uid="{00000000-0005-0000-0000-000063020000}"/>
    <cellStyle name="Normal 5 5 3 2 2" xfId="852" xr:uid="{00000000-0005-0000-0000-000064020000}"/>
    <cellStyle name="Normal 5 5 3 2 3" xfId="2742" xr:uid="{21D6E47F-79B8-4BDC-BB46-A14E6024A082}"/>
    <cellStyle name="Normal 5 5 3 3" xfId="746" xr:uid="{00000000-0005-0000-0000-000065020000}"/>
    <cellStyle name="Normal 5 5 3 4" xfId="1904" xr:uid="{D5331FB5-55C0-4466-AF25-13293DFCE74C}"/>
    <cellStyle name="Normal 5 5 4" xfId="589" xr:uid="{00000000-0005-0000-0000-000066020000}"/>
    <cellStyle name="Normal 5 5 4 2" xfId="800" xr:uid="{00000000-0005-0000-0000-000067020000}"/>
    <cellStyle name="Normal 5 5 4 3" xfId="2520" xr:uid="{75A4EAC1-FCA2-4E01-A31D-182C89B3FB30}"/>
    <cellStyle name="Normal 5 5 5" xfId="694" xr:uid="{00000000-0005-0000-0000-000068020000}"/>
    <cellStyle name="Normal 5 5 6" xfId="1493" xr:uid="{0589E20A-E694-4DD2-A0F1-EC4B19B36CB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3" xfId="2075" xr:uid="{D4B326A8-7A81-44B8-A134-86C56035AD14}"/>
    <cellStyle name="Normal 5 6 2 3" xfId="755" xr:uid="{00000000-0005-0000-0000-00006D020000}"/>
    <cellStyle name="Normal 5 6 2 3 2" xfId="2523" xr:uid="{7844FDEE-F9C8-4E5B-867D-499D80C66FB4}"/>
    <cellStyle name="Normal 5 6 2 4" xfId="1496" xr:uid="{97B75A6C-FE5F-4E28-A126-D413DC7FC06F}"/>
    <cellStyle name="Normal 5 6 3" xfId="598" xr:uid="{00000000-0005-0000-0000-00006E020000}"/>
    <cellStyle name="Normal 5 6 3 2" xfId="809" xr:uid="{00000000-0005-0000-0000-00006F020000}"/>
    <cellStyle name="Normal 5 6 3 2 2" xfId="2743" xr:uid="{F9986922-E9C5-45E0-81D2-10A86938AF85}"/>
    <cellStyle name="Normal 5 6 3 3" xfId="1905" xr:uid="{CE0F1612-016C-401E-A376-2537748F9161}"/>
    <cellStyle name="Normal 5 6 4" xfId="703" xr:uid="{00000000-0005-0000-0000-000070020000}"/>
    <cellStyle name="Normal 5 6 4 2" xfId="2522" xr:uid="{C13A9F9D-A83C-4DF6-B4A2-4C79F614A7E1}"/>
    <cellStyle name="Normal 5 6 5" xfId="1495" xr:uid="{73CD29BA-490F-4735-87FF-525905859A1F}"/>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7 4" xfId="1497" xr:uid="{5098B03F-6A2D-4EE0-BC68-F54757DCDED8}"/>
    <cellStyle name="Normal 5 8" xfId="572" xr:uid="{00000000-0005-0000-0000-000075020000}"/>
    <cellStyle name="Normal 5 8 2" xfId="783" xr:uid="{00000000-0005-0000-0000-000076020000}"/>
    <cellStyle name="Normal 5 8 2 2" xfId="2812" xr:uid="{0EA57876-853F-401D-A5E4-70DD2F355931}"/>
    <cellStyle name="Normal 5 8 2 3" xfId="1974" xr:uid="{6ACA11BA-0DC2-4D9C-9B56-0B67B589ABB9}"/>
    <cellStyle name="Normal 5 8 3" xfId="2524" xr:uid="{8039D7E4-68C7-44BD-91C6-B3D7DE62B34F}"/>
    <cellStyle name="Normal 5 8 4" xfId="1498" xr:uid="{1EAC24C0-7E06-4761-8AE2-8DD9E0CE0352}"/>
    <cellStyle name="Normal 5 9" xfId="677" xr:uid="{00000000-0005-0000-0000-000077020000}"/>
    <cellStyle name="Normal 5 9 2" xfId="2642" xr:uid="{F19C7CE9-04FF-4870-B70E-4182BED088C8}"/>
    <cellStyle name="Normal 5 9 3" xfId="1804" xr:uid="{5BAF390E-0FFB-4949-ADE7-FBCEB345FC9A}"/>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3" xfId="2241" xr:uid="{92F6EC70-3EEE-4EB1-ACE9-ADBC7D9101FA}"/>
    <cellStyle name="Normal 6 4" xfId="2196" xr:uid="{DCA6CCCF-ECC6-4ECF-B906-FD8CABC3258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2" xfId="285" xr:uid="{00000000-0005-0000-0000-00007B020000}"/>
    <cellStyle name="Normal 7 2 10" xfId="1501" xr:uid="{3E22D180-AB06-417C-892A-A2A2B4E83A81}"/>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3" xfId="2080" xr:uid="{E1318643-47C0-4C88-9CB1-725229B4C11D}"/>
    <cellStyle name="Normal 7 2 2 2 2 2 3" xfId="2530" xr:uid="{09B2417E-CC8A-4902-8C3F-10772BADE0F6}"/>
    <cellStyle name="Normal 7 2 2 2 2 2 4" xfId="1505" xr:uid="{31DD99B3-9FE1-46B3-B53D-0CB925F5297F}"/>
    <cellStyle name="Normal 7 2 2 2 2 3" xfId="768" xr:uid="{00000000-0005-0000-0000-000081020000}"/>
    <cellStyle name="Normal 7 2 2 2 2 3 2" xfId="2748" xr:uid="{7AFB6E98-2504-4B19-BCC9-8217DD579D72}"/>
    <cellStyle name="Normal 7 2 2 2 2 3 3" xfId="1910" xr:uid="{66327C3C-2E42-4121-A710-E397C9C550C0}"/>
    <cellStyle name="Normal 7 2 2 2 2 4" xfId="2529" xr:uid="{A4B12FEA-FFFE-42E1-931D-6510D30074D8}"/>
    <cellStyle name="Normal 7 2 2 2 2 5" xfId="1504" xr:uid="{49D71751-B5AA-4465-B3E9-9DB538809195}"/>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3" xfId="2532" xr:uid="{0112B907-AFDF-4CDE-A285-DF5857EA588B}"/>
    <cellStyle name="Normal 7 2 2 2 3 2 4" xfId="1507" xr:uid="{BEA9D9C7-08D8-4160-8EA8-2DF9B7DEF552}"/>
    <cellStyle name="Normal 7 2 2 2 3 3" xfId="1911" xr:uid="{188CEB77-AEE9-4312-BC8C-AEACDDEEA738}"/>
    <cellStyle name="Normal 7 2 2 2 3 3 2" xfId="2749" xr:uid="{533540D2-8E0C-4281-A32F-3EECAFEC08DC}"/>
    <cellStyle name="Normal 7 2 2 2 3 4" xfId="2531" xr:uid="{C0355EF4-579C-4BB1-9DF6-EED1140B4323}"/>
    <cellStyle name="Normal 7 2 2 2 3 5" xfId="1506" xr:uid="{4C7E692D-9197-4C02-A159-F945FB0100E0}"/>
    <cellStyle name="Normal 7 2 2 2 4" xfId="716" xr:uid="{00000000-0005-0000-0000-000084020000}"/>
    <cellStyle name="Normal 7 2 2 2 4 2" xfId="2079" xr:uid="{2736967C-923E-4241-89BA-D27DB61D803E}"/>
    <cellStyle name="Normal 7 2 2 2 4 2 2" xfId="2917" xr:uid="{293AAD51-E6C8-4CE5-8F79-79C8555F157D}"/>
    <cellStyle name="Normal 7 2 2 2 4 3" xfId="2533" xr:uid="{4E0C7ADE-462D-489A-B0FB-F502190D906A}"/>
    <cellStyle name="Normal 7 2 2 2 4 4" xfId="1508" xr:uid="{CBFC41F6-3D98-4F56-87EA-58228CB31555}"/>
    <cellStyle name="Normal 7 2 2 2 5" xfId="1909" xr:uid="{F45D7E83-1C3C-4010-B698-2294F7412AF7}"/>
    <cellStyle name="Normal 7 2 2 2 5 2" xfId="2747" xr:uid="{6CD64317-4E46-4F03-80D3-2AC14B0F8DF1}"/>
    <cellStyle name="Normal 7 2 2 2 6" xfId="2528" xr:uid="{E4B09D5A-DD5F-4147-B159-093FA50905ED}"/>
    <cellStyle name="Normal 7 2 2 2 7" xfId="1503" xr:uid="{8E340732-1F9A-4982-BC44-EBF853C09BC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3" xfId="2082" xr:uid="{E7230597-33AF-4936-8279-8DCA226DD1D3}"/>
    <cellStyle name="Normal 7 2 2 3 2 3" xfId="2535" xr:uid="{B791DECD-F77E-42B7-837E-2E130DDFFA51}"/>
    <cellStyle name="Normal 7 2 2 3 2 4" xfId="1510" xr:uid="{F26D6CDD-9921-411E-AE2B-FB7EAD58BBD6}"/>
    <cellStyle name="Normal 7 2 2 3 3" xfId="742" xr:uid="{00000000-0005-0000-0000-000088020000}"/>
    <cellStyle name="Normal 7 2 2 3 3 2" xfId="2750" xr:uid="{7A3A6583-9421-4C5E-88A7-067FFE3BA592}"/>
    <cellStyle name="Normal 7 2 2 3 3 3" xfId="1912" xr:uid="{CEE145F0-7983-43B5-8747-0FDF7E2F98A5}"/>
    <cellStyle name="Normal 7 2 2 3 4" xfId="2534" xr:uid="{8F8A2865-E778-47FF-B844-4A552EF9043C}"/>
    <cellStyle name="Normal 7 2 2 3 5" xfId="1509" xr:uid="{60CD7728-1148-4724-A65C-1CFAD97C991B}"/>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3" xfId="2537" xr:uid="{FE6E0B36-BBC0-4119-AA19-6C404D5C92EB}"/>
    <cellStyle name="Normal 7 2 2 4 2 4" xfId="1512" xr:uid="{C179CFD3-D58C-4B81-A729-F7267B3277FB}"/>
    <cellStyle name="Normal 7 2 2 4 3" xfId="1913" xr:uid="{FE8FF2B4-1A6B-4DB5-B870-D28DA542F121}"/>
    <cellStyle name="Normal 7 2 2 4 3 2" xfId="2751" xr:uid="{B5581DF4-127C-4782-AFB3-C7CA62B5034D}"/>
    <cellStyle name="Normal 7 2 2 4 4" xfId="2536" xr:uid="{26B10B33-858E-43EB-A8FD-B81A3ADCD0FB}"/>
    <cellStyle name="Normal 7 2 2 4 5" xfId="1511" xr:uid="{873B1081-45B7-471F-831A-67AFA1DEDC81}"/>
    <cellStyle name="Normal 7 2 2 5" xfId="690" xr:uid="{00000000-0005-0000-0000-00008B020000}"/>
    <cellStyle name="Normal 7 2 2 5 2" xfId="2078" xr:uid="{E9ABF06A-F496-425F-A131-A75277BC9895}"/>
    <cellStyle name="Normal 7 2 2 5 2 2" xfId="2916" xr:uid="{1D9DCEE4-801E-441A-A397-2D2482830C9F}"/>
    <cellStyle name="Normal 7 2 2 5 3" xfId="2538" xr:uid="{7E2EE2A6-D367-42D2-B1C7-DD08AE6732CC}"/>
    <cellStyle name="Normal 7 2 2 5 4" xfId="1513" xr:uid="{729ACD88-BB82-4332-897B-AD17C0FE3876}"/>
    <cellStyle name="Normal 7 2 2 6" xfId="1908" xr:uid="{92FCA010-431D-4F21-9490-F3A78C32733D}"/>
    <cellStyle name="Normal 7 2 2 6 2" xfId="2746" xr:uid="{A862FDCD-E311-4BD1-97CA-AF110E0DD198}"/>
    <cellStyle name="Normal 7 2 2 7" xfId="2527" xr:uid="{C3724462-9953-47AB-9143-2210DB07C7EF}"/>
    <cellStyle name="Normal 7 2 2 8" xfId="1502" xr:uid="{C57153C2-4980-41FE-AB16-4AB389ACB17F}"/>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3" xfId="2085" xr:uid="{31777AF6-547C-4E22-A7AB-E0CF28F8DFF4}"/>
    <cellStyle name="Normal 7 2 3 2 2 3" xfId="777" xr:uid="{00000000-0005-0000-0000-000091020000}"/>
    <cellStyle name="Normal 7 2 3 2 2 3 2" xfId="2541" xr:uid="{4913081D-7C1E-4062-84B5-469BF379D018}"/>
    <cellStyle name="Normal 7 2 3 2 2 4" xfId="1516" xr:uid="{FC54B5A1-D5F2-48FE-BDC6-64A339EA390B}"/>
    <cellStyle name="Normal 7 2 3 2 3" xfId="620" xr:uid="{00000000-0005-0000-0000-000092020000}"/>
    <cellStyle name="Normal 7 2 3 2 3 2" xfId="831" xr:uid="{00000000-0005-0000-0000-000093020000}"/>
    <cellStyle name="Normal 7 2 3 2 3 2 2" xfId="2753" xr:uid="{448DE24B-D6BF-41E6-828A-EA4A2AD9600F}"/>
    <cellStyle name="Normal 7 2 3 2 3 3" xfId="1915" xr:uid="{C24AB6A7-383C-456C-AC17-B2397BBE2A94}"/>
    <cellStyle name="Normal 7 2 3 2 4" xfId="725" xr:uid="{00000000-0005-0000-0000-000094020000}"/>
    <cellStyle name="Normal 7 2 3 2 4 2" xfId="2540" xr:uid="{D2A14B17-C7BD-4470-A8BA-96E86D15FB76}"/>
    <cellStyle name="Normal 7 2 3 2 5" xfId="1515" xr:uid="{BF3F2EFF-149B-4035-894C-97AAABABCEE1}"/>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3" xfId="2086" xr:uid="{01BEA39F-33A0-4240-942F-C8B6EB5ED2C8}"/>
    <cellStyle name="Normal 7 2 3 3 2 3" xfId="2543" xr:uid="{C2B9D790-1BA6-4EED-A76D-CE714BBAB8D1}"/>
    <cellStyle name="Normal 7 2 3 3 2 4" xfId="1518" xr:uid="{D4EC1113-F2AE-4915-83B7-548E98C0A128}"/>
    <cellStyle name="Normal 7 2 3 3 3" xfId="751" xr:uid="{00000000-0005-0000-0000-000098020000}"/>
    <cellStyle name="Normal 7 2 3 3 3 2" xfId="2754" xr:uid="{7E627745-8D0E-43B4-BAB6-B73C69804B21}"/>
    <cellStyle name="Normal 7 2 3 3 3 3" xfId="1916" xr:uid="{70DA1A41-615A-47BB-A4C4-B1C7A5ADCB0D}"/>
    <cellStyle name="Normal 7 2 3 3 4" xfId="2542" xr:uid="{6AC7B227-3D74-4D73-B03C-35639078200A}"/>
    <cellStyle name="Normal 7 2 3 3 5" xfId="1517" xr:uid="{4C3E6189-057F-4087-8641-3FA2AC0D4CE0}"/>
    <cellStyle name="Normal 7 2 3 4" xfId="594" xr:uid="{00000000-0005-0000-0000-000099020000}"/>
    <cellStyle name="Normal 7 2 3 4 2" xfId="805" xr:uid="{00000000-0005-0000-0000-00009A020000}"/>
    <cellStyle name="Normal 7 2 3 4 2 2" xfId="2922" xr:uid="{375E5929-7F82-4610-AB35-15D4C1C54328}"/>
    <cellStyle name="Normal 7 2 3 4 2 3" xfId="2084" xr:uid="{18E20465-4FAB-415D-845E-EDAAC833DC99}"/>
    <cellStyle name="Normal 7 2 3 4 3" xfId="2544" xr:uid="{70A44431-884A-4020-8493-ADEFF3C16599}"/>
    <cellStyle name="Normal 7 2 3 4 4" xfId="1519" xr:uid="{FDCABD45-3ECA-4A08-ADB2-912F15EF9D17}"/>
    <cellStyle name="Normal 7 2 3 5" xfId="699" xr:uid="{00000000-0005-0000-0000-00009B020000}"/>
    <cellStyle name="Normal 7 2 3 5 2" xfId="2752" xr:uid="{06637E35-D224-4235-94CE-EE72570AE2CE}"/>
    <cellStyle name="Normal 7 2 3 5 3" xfId="1914" xr:uid="{AFE5FEAF-1A76-463F-B8BD-A09F39426D5C}"/>
    <cellStyle name="Normal 7 2 3 6" xfId="2539" xr:uid="{78AEEC5C-DC44-46F7-90B8-A65071BD1F4B}"/>
    <cellStyle name="Normal 7 2 3 7" xfId="1514" xr:uid="{E544DC39-34B1-48A8-9393-912C107EC01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3" xfId="2087" xr:uid="{3A428BD1-ED3A-4B71-9EC1-206B9053BA68}"/>
    <cellStyle name="Normal 7 2 4 2 3" xfId="760" xr:uid="{00000000-0005-0000-0000-0000A0020000}"/>
    <cellStyle name="Normal 7 2 4 2 3 2" xfId="2546" xr:uid="{F4F4B31F-69E9-4405-8C10-D3E35C192C04}"/>
    <cellStyle name="Normal 7 2 4 2 4" xfId="1521" xr:uid="{BF969319-36B5-4D1C-98FD-8A37E544124F}"/>
    <cellStyle name="Normal 7 2 4 3" xfId="603" xr:uid="{00000000-0005-0000-0000-0000A1020000}"/>
    <cellStyle name="Normal 7 2 4 3 2" xfId="814" xr:uid="{00000000-0005-0000-0000-0000A2020000}"/>
    <cellStyle name="Normal 7 2 4 3 2 2" xfId="2755" xr:uid="{DF685F57-1B51-4AFD-A10B-518C9CDEB3F3}"/>
    <cellStyle name="Normal 7 2 4 3 3" xfId="1917" xr:uid="{3ED883D4-9624-4A96-A079-C5C2539B9E09}"/>
    <cellStyle name="Normal 7 2 4 4" xfId="708" xr:uid="{00000000-0005-0000-0000-0000A3020000}"/>
    <cellStyle name="Normal 7 2 4 4 2" xfId="2545" xr:uid="{3ECB07E1-9B22-4756-ABF6-0E9AD6661976}"/>
    <cellStyle name="Normal 7 2 4 5" xfId="1520" xr:uid="{CED3EA18-9883-4629-AFAA-784449E07978}"/>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3" xfId="2088" xr:uid="{B4C340F0-A9AC-4696-BB3F-6562B98633EB}"/>
    <cellStyle name="Normal 7 2 5 2 3" xfId="2548" xr:uid="{0D9B9E60-AE1B-4915-9217-F64E6516FD6A}"/>
    <cellStyle name="Normal 7 2 5 2 4" xfId="1523" xr:uid="{9FBE66B9-775C-4206-BF40-B9B56FA73D9C}"/>
    <cellStyle name="Normal 7 2 5 3" xfId="734" xr:uid="{00000000-0005-0000-0000-0000A7020000}"/>
    <cellStyle name="Normal 7 2 5 3 2" xfId="2756" xr:uid="{7F6D365B-4583-425B-BB28-313855D313C6}"/>
    <cellStyle name="Normal 7 2 5 3 3" xfId="1918" xr:uid="{8B64D760-0759-4739-9FA7-8061387C23A2}"/>
    <cellStyle name="Normal 7 2 5 4" xfId="2547" xr:uid="{F1FB447C-5FB7-45BC-874E-D03AE9B87426}"/>
    <cellStyle name="Normal 7 2 5 5" xfId="1522" xr:uid="{C3483F77-242A-4B7E-AFCB-E80C9D7466C0}"/>
    <cellStyle name="Normal 7 2 6" xfId="577" xr:uid="{00000000-0005-0000-0000-0000A8020000}"/>
    <cellStyle name="Normal 7 2 6 2" xfId="788" xr:uid="{00000000-0005-0000-0000-0000A9020000}"/>
    <cellStyle name="Normal 7 2 6 2 2" xfId="2915" xr:uid="{13B0B70D-88B4-4E92-8EA3-C5A2A5A201E9}"/>
    <cellStyle name="Normal 7 2 6 2 3" xfId="2077" xr:uid="{7C70CBA0-CC29-45BA-88E2-8B4CE3E566EE}"/>
    <cellStyle name="Normal 7 2 6 3" xfId="2549" xr:uid="{3336F64D-C370-457F-B436-CD6AACE2B16D}"/>
    <cellStyle name="Normal 7 2 6 4" xfId="1524" xr:uid="{9E70955A-CC7A-4CBC-A328-998D8D32C397}"/>
    <cellStyle name="Normal 7 2 7" xfId="682" xr:uid="{00000000-0005-0000-0000-0000AA020000}"/>
    <cellStyle name="Normal 7 2 7 2" xfId="2745" xr:uid="{1429E987-9F9C-49B0-BE0C-66A6110FDBC4}"/>
    <cellStyle name="Normal 7 2 7 3" xfId="1907" xr:uid="{DF6487A3-B16C-4763-B277-E14AA969AC6F}"/>
    <cellStyle name="Normal 7 2 8" xfId="2243" xr:uid="{893C0F17-42D6-42EB-A481-B44527DFEA5D}"/>
    <cellStyle name="Normal 7 2 9" xfId="2526" xr:uid="{9388EAAC-FA57-49AC-B418-3E70B450DF63}"/>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3 6" xfId="1525" xr:uid="{89C30F3D-5D83-4DC4-8B7A-1397405C42FE}"/>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4 6" xfId="1526" xr:uid="{3F9DF255-B212-404E-B7E3-F74B39CAE464}"/>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3" xfId="2914" xr:uid="{E506C560-97B5-4166-B2AC-533FD9BD7C60}"/>
    <cellStyle name="Normal 7 5 2 3" xfId="756" xr:uid="{00000000-0005-0000-0000-0000CF020000}"/>
    <cellStyle name="Normal 7 5 2 4" xfId="2076" xr:uid="{3953BDF3-BF94-4F7A-AB7E-03C6D4FD3704}"/>
    <cellStyle name="Normal 7 5 3" xfId="599" xr:uid="{00000000-0005-0000-0000-0000D0020000}"/>
    <cellStyle name="Normal 7 5 3 2" xfId="810" xr:uid="{00000000-0005-0000-0000-0000D1020000}"/>
    <cellStyle name="Normal 7 5 3 3" xfId="2550" xr:uid="{1C9155E2-49A2-4AA7-8CF1-B8B1276919B7}"/>
    <cellStyle name="Normal 7 5 4" xfId="704" xr:uid="{00000000-0005-0000-0000-0000D2020000}"/>
    <cellStyle name="Normal 7 5 5" xfId="1527" xr:uid="{D1C42708-A040-476D-A32A-B1E3F5C7A120}"/>
    <cellStyle name="Normal 7 6" xfId="469" xr:uid="{00000000-0005-0000-0000-0000D3020000}"/>
    <cellStyle name="Normal 7 6 2" xfId="625" xr:uid="{00000000-0005-0000-0000-0000D4020000}"/>
    <cellStyle name="Normal 7 6 2 2" xfId="836" xr:uid="{00000000-0005-0000-0000-0000D5020000}"/>
    <cellStyle name="Normal 7 6 2 3" xfId="2744" xr:uid="{A11BA143-981A-443C-88C4-D2F1C2054CCF}"/>
    <cellStyle name="Normal 7 6 3" xfId="730" xr:uid="{00000000-0005-0000-0000-0000D6020000}"/>
    <cellStyle name="Normal 7 6 4" xfId="1906" xr:uid="{A594E3BE-C14F-4B4C-A81E-5438885CB2F4}"/>
    <cellStyle name="Normal 7 7" xfId="573" xr:uid="{00000000-0005-0000-0000-0000D7020000}"/>
    <cellStyle name="Normal 7 7 2" xfId="784" xr:uid="{00000000-0005-0000-0000-0000D8020000}"/>
    <cellStyle name="Normal 7 7 3" xfId="2242" xr:uid="{D13D8FB6-7692-4C7F-A788-4DA09E09AE3A}"/>
    <cellStyle name="Normal 7 8" xfId="678" xr:uid="{00000000-0005-0000-0000-0000D9020000}"/>
    <cellStyle name="Normal 7 8 2" xfId="2525" xr:uid="{307702F0-915A-45DC-8EAA-52BC1DCD88E3}"/>
    <cellStyle name="Normal 7 9" xfId="1500" xr:uid="{D57F8E0A-E2ED-4FC7-A49E-A7169DADE1DC}"/>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3" xfId="2554" xr:uid="{F10B9456-7231-444D-B946-055649E5F1E1}"/>
    <cellStyle name="Normal 8 2 2 3" xfId="1921" xr:uid="{88D377B0-EFC1-476B-A607-4C1584248006}"/>
    <cellStyle name="Normal 8 2 2 3 2" xfId="2759" xr:uid="{5B58BBF9-03A2-4F04-80CD-00A99E1E8245}"/>
    <cellStyle name="Normal 8 2 2 4" xfId="2553" xr:uid="{7BED0038-A156-4411-BB8D-A4B1B41A8244}"/>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3" xfId="2556" xr:uid="{6EE82F89-8A9F-4044-A9AB-0E5A080064C3}"/>
    <cellStyle name="Normal 8 2 3 3" xfId="1922" xr:uid="{0B0D46D4-C369-4BD9-8A90-754E20DE686B}"/>
    <cellStyle name="Normal 8 2 3 3 2" xfId="2760" xr:uid="{F24464ED-9587-41BB-A952-6578F8F25107}"/>
    <cellStyle name="Normal 8 2 3 4" xfId="2555" xr:uid="{915E1339-F927-4101-BA61-D216CEDFD08C}"/>
    <cellStyle name="Normal 8 2 4" xfId="1534" xr:uid="{D006C071-D198-49CF-90FC-A96B554E0920}"/>
    <cellStyle name="Normal 8 2 4 2" xfId="2090" xr:uid="{6F538240-B100-4448-8199-26587A0D054F}"/>
    <cellStyle name="Normal 8 2 4 2 2" xfId="2928" xr:uid="{40559DE5-F40F-42DA-8E34-6D9C5B311BCC}"/>
    <cellStyle name="Normal 8 2 4 3" xfId="2557" xr:uid="{69EA9506-9EC8-445E-94A8-7797C51F1D71}"/>
    <cellStyle name="Normal 8 2 5" xfId="1920" xr:uid="{E2EEABFE-CB2A-47BA-A28C-2306E53B78CE}"/>
    <cellStyle name="Normal 8 2 5 2" xfId="2758" xr:uid="{241CD68D-A374-4F8E-A74D-36139FBC7C0B}"/>
    <cellStyle name="Normal 8 2 6" xfId="2245" xr:uid="{993412EA-D78C-47E5-A8B9-7DD005E8613C}"/>
    <cellStyle name="Normal 8 2 7" xfId="2552" xr:uid="{E84FB534-ED10-47AB-B85F-48E2B9DF01E5}"/>
    <cellStyle name="Normal 8 2 8" xfId="1529" xr:uid="{BDB9A11D-A2E9-42F0-852C-4C8FCB2359F7}"/>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3" xfId="2559" xr:uid="{B9E13225-E94F-45BE-A760-A5D10B3C42A5}"/>
    <cellStyle name="Normal 8 3 3" xfId="1923" xr:uid="{47F1BC2B-8B65-45E8-8B4C-02D3B364CA83}"/>
    <cellStyle name="Normal 8 3 3 2" xfId="2761" xr:uid="{C4C74741-79AF-4381-9585-98EADB1DF708}"/>
    <cellStyle name="Normal 8 3 4" xfId="2558" xr:uid="{803D7582-2419-4E06-A526-945DE127505C}"/>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3" xfId="2561" xr:uid="{083A2605-4306-4547-9C63-09802E48865D}"/>
    <cellStyle name="Normal 8 4 3" xfId="1924" xr:uid="{CCA79CA0-1C31-4160-8CEF-1409DA89ABAF}"/>
    <cellStyle name="Normal 8 4 3 2" xfId="2762" xr:uid="{32BC2F2F-FCC4-4E68-97D9-FF88273FAAF4}"/>
    <cellStyle name="Normal 8 4 4" xfId="2560" xr:uid="{BE65E5DF-355D-4D81-9B0D-0B7CA3A9604D}"/>
    <cellStyle name="Normal 8 5" xfId="1539" xr:uid="{D357DC18-202D-4C6B-BFA4-9487F88D79A5}"/>
    <cellStyle name="Normal 8 5 2" xfId="2089" xr:uid="{DCB062A9-3958-4914-BF81-58513C1CDBC9}"/>
    <cellStyle name="Normal 8 5 2 2" xfId="2927" xr:uid="{39E19137-A659-4DC6-8AE5-10CEECFB1423}"/>
    <cellStyle name="Normal 8 5 3" xfId="2562" xr:uid="{AC260160-43EB-494C-A75C-288D4F505B49}"/>
    <cellStyle name="Normal 8 6" xfId="1919" xr:uid="{275AF734-ED45-4B21-9373-E30F3BA34075}"/>
    <cellStyle name="Normal 8 6 2" xfId="2757" xr:uid="{28A57076-8763-4938-B2B2-FE726F0FC71A}"/>
    <cellStyle name="Normal 8 7" xfId="2244" xr:uid="{1CB932F5-B1EA-42E9-AE20-5F93357BE6FD}"/>
    <cellStyle name="Normal 8 8" xfId="2551" xr:uid="{8481FA03-2E55-4DB2-A3A9-7D12F408A00E}"/>
    <cellStyle name="Normal 8 9" xfId="1528" xr:uid="{DAF95CE8-B2B9-4E00-B32B-705102AA2D3F}"/>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9" xfId="981" xr:uid="{E22A1F9D-E963-4307-8C4B-0CC408DE39C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2 6" xfId="2205" xr:uid="{BC673DEF-5D04-4C53-A370-7F1FE7659104}"/>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3 6" xfId="2246" xr:uid="{22D0BE96-4F8F-44D9-8F54-F047A2D1D968}"/>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4 5" xfId="2197" xr:uid="{F213F258-85A6-4046-9766-159BA016304C}"/>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 9 8" xfId="1540" xr:uid="{24C5FA95-B10B-4820-A5E7-CE0B32E4875A}"/>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3" xfId="3160" xr:uid="{FC163AA7-7B1C-4FD4-9AE7-891C68D4DDF5}"/>
    <cellStyle name="Note 2 2 4" xfId="2203" xr:uid="{F90C3ADD-3E30-4BD0-A7FA-D2D581D69F1D}"/>
    <cellStyle name="Note 2 2 5" xfId="3210" xr:uid="{9DB6F5A5-0373-43C7-9A9B-86074C170CC7}"/>
    <cellStyle name="Note 2 2 6" xfId="3306" xr:uid="{F95AA93A-4B3E-4624-B879-3A93FB5584F4}"/>
    <cellStyle name="Note 2 3" xfId="1544" xr:uid="{0645C1D6-5AD2-46FF-BF23-2DA6F7FAB7E9}"/>
    <cellStyle name="Note 2 3 2" xfId="3289" xr:uid="{5E301530-BA99-425E-9CB3-F17ABE9B97EE}"/>
    <cellStyle name="Note 2 3 3" xfId="3305" xr:uid="{34AB6321-F0EC-4FCD-BF44-2AA822B372C2}"/>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3" xfId="2564" xr:uid="{032EE847-CA45-42B4-9F0B-1622EC1C1455}"/>
    <cellStyle name="Note 2 7" xfId="1803" xr:uid="{100940DF-780D-474C-967A-FCD47220126F}"/>
    <cellStyle name="Note 2 7 2" xfId="2641" xr:uid="{24ECF1FB-E188-4C3B-B897-2B8801A7A91C}"/>
    <cellStyle name="Note 2 8" xfId="2213" xr:uid="{00CD06D3-37B7-41F8-BC9A-5C51953D146F}"/>
    <cellStyle name="Note 2 9" xfId="2563" xr:uid="{699D5530-6D92-432A-942C-76A25756B943}"/>
    <cellStyle name="Note 3" xfId="232" xr:uid="{00000000-0005-0000-0000-00000F030000}"/>
    <cellStyle name="Note 3 2" xfId="2968" xr:uid="{4A229F60-125B-4B8B-A7CE-A088A18AAFA5}"/>
    <cellStyle name="Note 3 3" xfId="2130" xr:uid="{1A1B6121-D8F8-47C7-A8E2-14D921387F04}"/>
    <cellStyle name="Note 4" xfId="278" xr:uid="{00000000-0005-0000-0000-000010030000}"/>
    <cellStyle name="Note 4 2" xfId="2159" xr:uid="{DE8DFE35-9B4C-461A-9270-8ECAFEE000C9}"/>
    <cellStyle name="Note 5" xfId="327" xr:uid="{00000000-0005-0000-0000-000011030000}"/>
    <cellStyle name="Note 5 2" xfId="2173" xr:uid="{2274DBE0-5402-4F9D-A085-23875B90B9BB}"/>
    <cellStyle name="Note 6" xfId="391" xr:uid="{00000000-0005-0000-0000-000012030000}"/>
    <cellStyle name="Note 6 2" xfId="3041" xr:uid="{3F6746C8-F563-4E56-9BBA-CB064F8F92AE}"/>
    <cellStyle name="Note 7" xfId="462" xr:uid="{00000000-0005-0000-0000-000013030000}"/>
    <cellStyle name="Note 7 2" xfId="2283" xr:uid="{111DE793-311B-421A-AD6B-DAAD01151306}"/>
    <cellStyle name="Note 8" xfId="566" xr:uid="{00000000-0005-0000-0000-000014030000}"/>
    <cellStyle name="Output" xfId="69" builtinId="21" customBuiltin="1"/>
    <cellStyle name="Output 2" xfId="187" xr:uid="{00000000-0005-0000-0000-000016030000}"/>
    <cellStyle name="Output 2 2" xfId="1549" xr:uid="{12332D61-2B52-4831-BDEB-9EB7A1EC4913}"/>
    <cellStyle name="Output 2 2 2" xfId="3082" xr:uid="{DCDC1C11-96FD-4E91-BF2E-D2719E759957}"/>
    <cellStyle name="Output 2 2 3" xfId="3134" xr:uid="{5B15CAFE-0139-4819-9FB4-2EB9BE49E2F3}"/>
    <cellStyle name="Output 2 3" xfId="3140" xr:uid="{4C75D20A-9A0C-4A20-85E5-76A759550F36}"/>
    <cellStyle name="Output 2 4" xfId="3304" xr:uid="{46995F99-A8C1-4C47-8966-B59D09B1C165}"/>
    <cellStyle name="Output 2 5" xfId="1548" xr:uid="{32837C36-1F56-484A-85CA-6C75B2E2C5DD}"/>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1" xfId="1578" xr:uid="{B88823E0-EA18-4E24-9830-B3B396632CA9}"/>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3" xfId="2566" xr:uid="{31451742-7DC6-435C-B8B5-0303B32A3B89}"/>
    <cellStyle name="Percent 3 8" xfId="1806" xr:uid="{20162927-A4C9-4D3E-BAC6-B316ADBBD940}"/>
    <cellStyle name="Percent 3 8 2" xfId="2644" xr:uid="{893CFA10-C85B-43C7-B2EA-6520240172C9}"/>
    <cellStyle name="Percent 3 9" xfId="2215" xr:uid="{DEB76B9B-C753-4465-B22D-0DFE2C6F6013}"/>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3" xfId="3191" xr:uid="{52A4C16A-2013-4D9A-A647-047877D1DE65}"/>
    <cellStyle name="SAPBEXaggData 2 2 3" xfId="3070" xr:uid="{13B672F4-90F9-412C-BD17-1BA21522297F}"/>
    <cellStyle name="SAPBEXaggData 2 2 4" xfId="3103" xr:uid="{DF52D1D5-9E00-4C7E-8FEF-C0C6E9D7BEF9}"/>
    <cellStyle name="SAPBEXaggData 2 3" xfId="1602" xr:uid="{500FFBCD-24C1-458B-9F59-B59DAF1DAE96}"/>
    <cellStyle name="SAPBEXaggData 2 3 2" xfId="3273" xr:uid="{F4229EF9-3DD2-4F90-8C8C-90C0CDEBFD49}"/>
    <cellStyle name="SAPBEXaggData 2 3 3" xfId="3293" xr:uid="{6BB1E32A-778B-4B86-8D88-B9C2B0D402CA}"/>
    <cellStyle name="SAPBEXaggData 2 4" xfId="3287" xr:uid="{6CFF288F-39BB-434A-8C98-2805E73512EE}"/>
    <cellStyle name="SAPBEXaggData 2 5" xfId="3206" xr:uid="{644FED61-BA6B-4A5E-AA33-6205814F5D8F}"/>
    <cellStyle name="SAPBEXaggData 3" xfId="3245" xr:uid="{728242AD-8B5D-4E50-BBB5-B065C83FF2EE}"/>
    <cellStyle name="SAPBEXaggData 4" xfId="3201" xr:uid="{A77C71DD-4570-4BAC-9C05-724CB39E2C5E}"/>
    <cellStyle name="SAPBEXaggData 5" xfId="1598" xr:uid="{E1FF5564-FEF7-4C2A-9B27-BBAE215AFEFF}"/>
    <cellStyle name="SAPBEXaggDataEmph" xfId="73" xr:uid="{00000000-0005-0000-0000-000028030000}"/>
    <cellStyle name="SAPBEXaggDataEmph 2" xfId="1604" xr:uid="{C041ED9C-9F28-4468-B5C1-72D22BA10D02}"/>
    <cellStyle name="SAPBEXaggDataEmph 2 2" xfId="3190" xr:uid="{C46E27BB-C29E-48C2-868A-A6DAA4F6D3C0}"/>
    <cellStyle name="SAPBEXaggDataEmph 2 3" xfId="3192" xr:uid="{28E75EBD-981B-4129-AF7C-B29C2D926D14}"/>
    <cellStyle name="SAPBEXaggDataEmph 3" xfId="3099" xr:uid="{C7C2DC3E-DA4E-49E4-B079-0049D0BC31C3}"/>
    <cellStyle name="SAPBEXaggDataEmph 4" xfId="3049" xr:uid="{7BA57EA1-81D4-4E58-8420-89E45FC00D4D}"/>
    <cellStyle name="SAPBEXaggDataEmph 5" xfId="1603" xr:uid="{881C820C-6178-48F3-8E60-54F1F6C97600}"/>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3" xfId="3275" xr:uid="{52BC7399-2DCD-43D4-96B1-2DD8659D8774}"/>
    <cellStyle name="SAPBEXaggItem 2 3" xfId="1608" xr:uid="{0D70B0D1-0AB2-4DCD-BBBD-EEF863038142}"/>
    <cellStyle name="SAPBEXaggItem 2 3 2" xfId="3119" xr:uid="{96313354-8F6E-4030-A465-08A04381CA26}"/>
    <cellStyle name="SAPBEXaggItem 2 3 3" xfId="3218" xr:uid="{52A69C1D-CF43-4B46-AE33-262E1E8B76AB}"/>
    <cellStyle name="SAPBEXaggItem 2 4" xfId="3286" xr:uid="{90EB2062-5725-4275-9176-EA15E68E4BD0}"/>
    <cellStyle name="SAPBEXaggItem 2 5" xfId="3288" xr:uid="{6146BE98-F930-40D7-83DD-818D855143CE}"/>
    <cellStyle name="SAPBEXaggItem 3" xfId="3128" xr:uid="{832246E8-D2F0-4761-9E6F-60BDD76BE216}"/>
    <cellStyle name="SAPBEXaggItem 4" xfId="3126" xr:uid="{F26EE3E6-78C9-4121-AE8A-C4A698B326F1}"/>
    <cellStyle name="SAPBEXaggItem 5" xfId="1605" xr:uid="{56610863-AF68-4AE6-BF11-A4BD265899BB}"/>
    <cellStyle name="SAPBEXaggItemX" xfId="75" xr:uid="{00000000-0005-0000-0000-00002A030000}"/>
    <cellStyle name="SAPBEXaggItemX 2" xfId="925" xr:uid="{94140530-6253-443E-BEEF-2F6537F93C3D}"/>
    <cellStyle name="SAPBEXaggItemX 2 2" xfId="3059" xr:uid="{E1E2A984-7B7E-4BF0-914F-0E0475E4691D}"/>
    <cellStyle name="SAPBEXaggItemX 2 3" xfId="3292" xr:uid="{8C7FE456-BCBD-40C2-9D1E-07210A2B7076}"/>
    <cellStyle name="SAPBEXaggItemX 2 4" xfId="1610" xr:uid="{79F2AB99-60C5-4453-812C-D9484583766E}"/>
    <cellStyle name="SAPBEXaggItemX 3" xfId="3256" xr:uid="{BEAAB0CF-0165-445B-ACC7-D34A21FE21D0}"/>
    <cellStyle name="SAPBEXaggItemX 4" xfId="3055" xr:uid="{A311F2D3-7405-4FC7-B9CA-0078AD4F458D}"/>
    <cellStyle name="SAPBEXaggItemX 5" xfId="1609" xr:uid="{FF30BE45-0C67-4CD2-9708-14B84A38B8C2}"/>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3" xfId="3149" xr:uid="{18AE778D-965A-4980-9673-7706BC315CC5}"/>
    <cellStyle name="SAPBEXchaText 2 3" xfId="1614" xr:uid="{8FFE5D26-7913-4563-8BE2-5527E54DD550}"/>
    <cellStyle name="SAPBEXchaText 2 3 2" xfId="3177" xr:uid="{33E7CD87-A4DB-466A-9CAC-C5297343D0DD}"/>
    <cellStyle name="SAPBEXchaText 2 3 3" xfId="3135" xr:uid="{9A8C1388-A755-45A6-912B-457B4D74FAF8}"/>
    <cellStyle name="SAPBEXchaText 2 4" xfId="3183" xr:uid="{2B17602C-0541-4D71-94D4-150C8794DA3D}"/>
    <cellStyle name="SAPBEXchaText 2 5" xfId="3166" xr:uid="{39AEFDB2-3B1C-4232-A2C4-572257BD3634}"/>
    <cellStyle name="SAPBEXchaText 3" xfId="3200" xr:uid="{98A03DA7-1924-4C0F-8EB3-A9254319D46B}"/>
    <cellStyle name="SAPBEXchaText 4" xfId="3153" xr:uid="{06A7AF2E-BCE0-4615-BAF0-79F94D6EC11B}"/>
    <cellStyle name="SAPBEXchaText 5" xfId="1611" xr:uid="{A97E2B4A-7B68-4429-9D31-5E2783B1DFCD}"/>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3" xfId="3133" xr:uid="{8AB29BB9-2152-49A9-A6A8-0DD25EF6B026}"/>
    <cellStyle name="SAPBEXexcBad7 2 3" xfId="1619" xr:uid="{B440BB55-A191-412F-ABD4-6DA0F247668A}"/>
    <cellStyle name="SAPBEXexcBad7 2 3 2" xfId="3176" xr:uid="{E6138790-1B52-4FC8-B7BA-72F0D822A019}"/>
    <cellStyle name="SAPBEXexcBad7 2 3 3" xfId="3291" xr:uid="{A3A266D0-C75B-42AF-823E-465BEB283F26}"/>
    <cellStyle name="SAPBEXexcBad7 2 4" xfId="3260" xr:uid="{27F249D8-5F00-40F1-87E3-C3300D3D2620}"/>
    <cellStyle name="SAPBEXexcBad7 2 5" xfId="3272" xr:uid="{C0A00A8B-00F3-4202-B398-6491A2BE9DD7}"/>
    <cellStyle name="SAPBEXexcBad7 2 6" xfId="1617" xr:uid="{11C11065-CC76-433C-B359-D6C2715CC790}"/>
    <cellStyle name="SAPBEXexcBad7 3" xfId="3211" xr:uid="{F3C8E92E-8819-4743-BCE1-0AD817F7E52E}"/>
    <cellStyle name="SAPBEXexcBad7 4" xfId="3088" xr:uid="{7A13A822-974D-4F2D-84C1-7207B518D1F4}"/>
    <cellStyle name="SAPBEXexcBad7 5" xfId="1616" xr:uid="{3A61B751-877F-441F-B6DC-F467DDD1AD75}"/>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3" xfId="3178" xr:uid="{2F09CD3F-CCCF-4864-AEA1-8FD637D63063}"/>
    <cellStyle name="SAPBEXexcBad8 2 3" xfId="1623" xr:uid="{F07D32CC-997D-4CCD-8AB5-D8E1AE1FF1F3}"/>
    <cellStyle name="SAPBEXexcBad8 2 3 2" xfId="3255" xr:uid="{2D5676DF-AD12-4C52-AD2E-5035FD2CA0CB}"/>
    <cellStyle name="SAPBEXexcBad8 2 3 3" xfId="3122" xr:uid="{23BDE68F-7F44-416C-A9DA-B39651F352B0}"/>
    <cellStyle name="SAPBEXexcBad8 2 4" xfId="3263" xr:uid="{DF67F1D5-9768-4AF7-B64D-74F16281090B}"/>
    <cellStyle name="SAPBEXexcBad8 2 5" xfId="3232" xr:uid="{84D2290F-C3A7-4364-8181-AFC6E88EEE71}"/>
    <cellStyle name="SAPBEXexcBad8 2 6" xfId="1621" xr:uid="{2CBC5F18-CC01-441A-9BA4-8850DE3C6A63}"/>
    <cellStyle name="SAPBEXexcBad8 3" xfId="3093" xr:uid="{B5F4DB96-7581-421F-BE09-085EC0F0D422}"/>
    <cellStyle name="SAPBEXexcBad8 4" xfId="3253" xr:uid="{7F53D327-E6AA-414E-AF67-41CB62F1C57F}"/>
    <cellStyle name="SAPBEXexcBad8 5" xfId="1620" xr:uid="{7C76A88E-D8F6-437D-B967-FD0321CF2DFC}"/>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3" xfId="3220" xr:uid="{C9BBD975-B4ED-4AAF-A4D0-99B1B2C50227}"/>
    <cellStyle name="SAPBEXexcBad9 2 3" xfId="1627" xr:uid="{B02961CA-EFCB-4875-AFAE-C08457194207}"/>
    <cellStyle name="SAPBEXexcBad9 2 3 2" xfId="3046" xr:uid="{D4DB5D2D-EDAD-4D3B-A534-63D2532E558B}"/>
    <cellStyle name="SAPBEXexcBad9 2 3 3" xfId="3217" xr:uid="{86329FE1-FA2B-4E75-8555-8B5DCC80DCAF}"/>
    <cellStyle name="SAPBEXexcBad9 2 4" xfId="3194" xr:uid="{1940D20D-E2D4-489E-B1D3-F424609D0027}"/>
    <cellStyle name="SAPBEXexcBad9 2 5" xfId="3143" xr:uid="{6BCA57DD-4702-4E1B-BC80-9F3FF7697D26}"/>
    <cellStyle name="SAPBEXexcBad9 2 6" xfId="1625" xr:uid="{47586EEB-70F0-4882-B95A-2A769B61D794}"/>
    <cellStyle name="SAPBEXexcBad9 3" xfId="3156" xr:uid="{A05ACD26-1CF0-4752-821E-66F478506893}"/>
    <cellStyle name="SAPBEXexcBad9 4" xfId="3243" xr:uid="{9BAED454-5EFB-4E5B-9CFE-4FDFA10E8EB9}"/>
    <cellStyle name="SAPBEXexcBad9 5" xfId="1624" xr:uid="{5066F295-F30D-4B4C-AF46-3D02AA7F123C}"/>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3" xfId="3279" xr:uid="{41D66534-15D0-4034-A7DC-8453030307C9}"/>
    <cellStyle name="SAPBEXexcCritical4 2 3" xfId="1631" xr:uid="{10D59B6A-608F-4E0B-8EB9-046D8EEBFC21}"/>
    <cellStyle name="SAPBEXexcCritical4 2 3 2" xfId="3064" xr:uid="{8966A808-A7DA-4CF9-B3A9-B1FDDE7FB29B}"/>
    <cellStyle name="SAPBEXexcCritical4 2 3 3" xfId="3058" xr:uid="{AF78A8B6-35C7-4136-9FE8-46F501FF0A92}"/>
    <cellStyle name="SAPBEXexcCritical4 2 4" xfId="3157" xr:uid="{C265D26E-82EE-4E15-B6AC-2AB6FE9865E1}"/>
    <cellStyle name="SAPBEXexcCritical4 2 5" xfId="3131" xr:uid="{6E9BD25D-CA92-4C64-9A46-13F61EFAD820}"/>
    <cellStyle name="SAPBEXexcCritical4 2 6" xfId="1629" xr:uid="{1EF9C3D3-1C30-4722-A998-9835764EF207}"/>
    <cellStyle name="SAPBEXexcCritical4 3" xfId="3117" xr:uid="{D04F99AD-0B26-4CC0-846F-700B31D6007A}"/>
    <cellStyle name="SAPBEXexcCritical4 4" xfId="3084" xr:uid="{A09043AB-8DE8-4C4C-845E-69BEB47AAA5D}"/>
    <cellStyle name="SAPBEXexcCritical4 5" xfId="1628" xr:uid="{6C11D61F-CCF3-4C6C-B295-E691AD9A335C}"/>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3" xfId="3268" xr:uid="{639076DC-F045-46B7-8A64-C408B796BA5A}"/>
    <cellStyle name="SAPBEXexcCritical5 2 3" xfId="1635" xr:uid="{0444B89F-6AAD-4FFD-9380-24C96D8E632A}"/>
    <cellStyle name="SAPBEXexcCritical5 2 3 2" xfId="3181" xr:uid="{8DA2C76D-3603-43E3-B9B9-9A3A3EAAD459}"/>
    <cellStyle name="SAPBEXexcCritical5 2 3 3" xfId="3186" xr:uid="{91A26455-F53A-4D4F-8568-EEBB3671584F}"/>
    <cellStyle name="SAPBEXexcCritical5 2 4" xfId="3120" xr:uid="{7DA2E082-ABA2-4B0B-B5DD-046FB52CFF04}"/>
    <cellStyle name="SAPBEXexcCritical5 2 5" xfId="3202" xr:uid="{3E60FAA2-355A-4F2B-A11E-936342ABBA02}"/>
    <cellStyle name="SAPBEXexcCritical5 2 6" xfId="1633" xr:uid="{76AF7256-7E04-42B0-B1CB-A1B62B2D939E}"/>
    <cellStyle name="SAPBEXexcCritical5 3" xfId="3278" xr:uid="{B9776818-624A-4106-9868-0C1A0C4AD335}"/>
    <cellStyle name="SAPBEXexcCritical5 4" xfId="3066" xr:uid="{6F98B9B1-EB13-4F84-84CE-5132936C4AFA}"/>
    <cellStyle name="SAPBEXexcCritical5 5" xfId="1632" xr:uid="{520696D9-1288-4A60-AB3D-7A8520C9C81B}"/>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3" xfId="3138" xr:uid="{91DB0BFB-B6F2-43AF-B9D7-6DEDC46C1789}"/>
    <cellStyle name="SAPBEXexcCritical6 2 3" xfId="1639" xr:uid="{AA9489A8-F72C-4664-A223-F36D56B4804F}"/>
    <cellStyle name="SAPBEXexcCritical6 2 3 2" xfId="3074" xr:uid="{D8C71C81-57F3-4977-BCF1-3B6BDBC8CEFE}"/>
    <cellStyle name="SAPBEXexcCritical6 2 3 3" xfId="3051" xr:uid="{FC0A2E2B-027B-4878-BDE3-E5EB94D8453F}"/>
    <cellStyle name="SAPBEXexcCritical6 2 4" xfId="3106" xr:uid="{B258FCF1-CF81-45FF-8856-75FCD82EBD51}"/>
    <cellStyle name="SAPBEXexcCritical6 2 5" xfId="3071" xr:uid="{B397E12C-61C1-4BF4-A31D-7DB15391DD9F}"/>
    <cellStyle name="SAPBEXexcCritical6 2 6" xfId="1637" xr:uid="{DBADD464-E9D8-4FFA-8C6F-6C9E07397993}"/>
    <cellStyle name="SAPBEXexcCritical6 3" xfId="3209" xr:uid="{6120F2CA-1115-4675-B1BA-F246C8B822EC}"/>
    <cellStyle name="SAPBEXexcCritical6 4" xfId="3169" xr:uid="{CE2F60A9-6DC1-41E2-AFCF-AF6F320C4523}"/>
    <cellStyle name="SAPBEXexcCritical6 5" xfId="1636" xr:uid="{42AAD9FE-5F43-4F0B-856A-815D1319F75D}"/>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3" xfId="3250" xr:uid="{3A462838-BEAD-47B2-92C8-962EF0BB8034}"/>
    <cellStyle name="SAPBEXexcGood1 2 3" xfId="1643" xr:uid="{4E0ACAC5-6094-48CB-9F1F-DEB6B6399A8B}"/>
    <cellStyle name="SAPBEXexcGood1 2 3 2" xfId="3269" xr:uid="{17283035-CAFC-4D01-8F1B-5321BB5B72F4}"/>
    <cellStyle name="SAPBEXexcGood1 2 3 3" xfId="3236" xr:uid="{07AF9F8C-8D92-4B42-9763-2477AB3960EB}"/>
    <cellStyle name="SAPBEXexcGood1 2 4" xfId="3076" xr:uid="{BA228D25-8D11-4FA9-9745-E16A0C0CB133}"/>
    <cellStyle name="SAPBEXexcGood1 2 5" xfId="3212" xr:uid="{B460CD2F-80BC-4E54-BDEB-F4904EF1E9E2}"/>
    <cellStyle name="SAPBEXexcGood1 2 6" xfId="1641" xr:uid="{0E826CEF-3713-44D0-B5EB-803196A32B33}"/>
    <cellStyle name="SAPBEXexcGood1 3" xfId="3249" xr:uid="{7F68F78E-2F43-4C6C-988E-2CCFC1F91307}"/>
    <cellStyle name="SAPBEXexcGood1 4" xfId="3127" xr:uid="{B0318D05-E042-40AF-AE42-2308ACCE50A3}"/>
    <cellStyle name="SAPBEXexcGood1 5" xfId="1640" xr:uid="{6544DC32-F387-41D8-9B3E-EB9BF2725F9B}"/>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3" xfId="3118" xr:uid="{FE8306C3-A9C1-4246-9161-697E30C9FB54}"/>
    <cellStyle name="SAPBEXexcGood2 2 3" xfId="1647" xr:uid="{2473FCFE-E1DC-453F-8181-03FD9E3BDE54}"/>
    <cellStyle name="SAPBEXexcGood2 2 3 2" xfId="3270" xr:uid="{B2174A8E-A5DD-4A69-8530-1AAA321F4D91}"/>
    <cellStyle name="SAPBEXexcGood2 2 3 3" xfId="3225" xr:uid="{5777397E-8956-4ADC-9053-991FB2497404}"/>
    <cellStyle name="SAPBEXexcGood2 2 4" xfId="3129" xr:uid="{4E4D8A40-14DB-4FDE-B241-D5E1A3BEAF28}"/>
    <cellStyle name="SAPBEXexcGood2 2 5" xfId="3087" xr:uid="{8E4F3D60-E7E9-42FA-ADF5-7CAD1946D1A9}"/>
    <cellStyle name="SAPBEXexcGood2 2 6" xfId="1645" xr:uid="{E5C11307-DEB0-4D1E-8A3F-851ABD93C9E2}"/>
    <cellStyle name="SAPBEXexcGood2 3" xfId="3267" xr:uid="{6125C4BE-304B-499E-BEB6-74E44473E6C9}"/>
    <cellStyle name="SAPBEXexcGood2 4" xfId="3205" xr:uid="{6A59D1C4-82F1-478C-AD0F-0CA4FBBC8A9E}"/>
    <cellStyle name="SAPBEXexcGood2 5" xfId="1644" xr:uid="{C01ECB1E-F108-4707-BAA2-21BB02687559}"/>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3" xfId="3251" xr:uid="{E331FDCF-DEE1-4B87-AF4F-33BBDDE408DD}"/>
    <cellStyle name="SAPBEXexcGood3 2 3" xfId="1651" xr:uid="{7E1C8BD4-697A-40D3-BD28-0513C712BF87}"/>
    <cellStyle name="SAPBEXexcGood3 2 3 2" xfId="3246" xr:uid="{980396A0-5E14-4DAA-ADD7-B32E9CD680E2}"/>
    <cellStyle name="SAPBEXexcGood3 2 3 3" xfId="3124" xr:uid="{846BD0DA-2A4F-4A27-A3D1-222BABF0A339}"/>
    <cellStyle name="SAPBEXexcGood3 2 4" xfId="3063" xr:uid="{31E110BC-DAA4-4F81-82B2-0DC73FDD6A7A}"/>
    <cellStyle name="SAPBEXexcGood3 2 5" xfId="3115" xr:uid="{5EF2567F-B64C-4B48-9894-B9E058A273D4}"/>
    <cellStyle name="SAPBEXexcGood3 2 6" xfId="1649" xr:uid="{E35BCF35-6DC0-4F6D-86AE-A309F77FA97A}"/>
    <cellStyle name="SAPBEXexcGood3 3" xfId="3069" xr:uid="{6407E7F9-5EB6-4C10-BAFD-1C8AF442B495}"/>
    <cellStyle name="SAPBEXexcGood3 4" xfId="3164" xr:uid="{1CC7D2F6-EB72-4CBD-BD6B-1D8CE0A52C24}"/>
    <cellStyle name="SAPBEXexcGood3 5" xfId="1648" xr:uid="{8F14273A-1D45-488C-B08E-57660CD41D2B}"/>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3" xfId="3101" xr:uid="{3B442078-63BE-4AEE-96D0-E928A0737388}"/>
    <cellStyle name="SAPBEXfilterDrill 2 3" xfId="1655" xr:uid="{E4714BA9-B7CE-431B-90D2-7B5837BD2C35}"/>
    <cellStyle name="SAPBEXfilterDrill 2 3 2" xfId="3047" xr:uid="{46AD5C18-16D2-4345-9C19-F0F99E64C55C}"/>
    <cellStyle name="SAPBEXfilterDrill 2 3 3" xfId="3174" xr:uid="{09822ECA-A373-4A99-9E60-20A853CC7107}"/>
    <cellStyle name="SAPBEXfilterDrill 2 4" xfId="3136" xr:uid="{DF46AE6B-73F0-43A0-8548-4B85734E9A24}"/>
    <cellStyle name="SAPBEXfilterDrill 2 5" xfId="3112" xr:uid="{C076FA5F-BF2D-4DF0-8B92-561EB2BD1C7D}"/>
    <cellStyle name="SAPBEXfilterDrill 3" xfId="3075" xr:uid="{442107BC-4A92-4792-B707-2B4E74AC37AC}"/>
    <cellStyle name="SAPBEXfilterDrill 4" xfId="3204" xr:uid="{512064FE-81AE-4DED-AC66-7294DEF7C46A}"/>
    <cellStyle name="SAPBEXfilterDrill 5" xfId="1652" xr:uid="{CA55BA2E-CB05-434B-99BA-681A7FBE4E84}"/>
    <cellStyle name="SAPBEXfilterItem" xfId="87" xr:uid="{00000000-0005-0000-0000-00003F030000}"/>
    <cellStyle name="SAPBEXfilterItem 2" xfId="137" xr:uid="{00000000-0005-0000-0000-000040030000}"/>
    <cellStyle name="SAPBEXfilterItem 2 2" xfId="3196" xr:uid="{26DDC478-4B83-40C9-A39F-3DFB8178C2FD}"/>
    <cellStyle name="SAPBEXfilterItem 2 3" xfId="3198" xr:uid="{18D34F26-06AC-4E81-8EBB-36EE3DB2368F}"/>
    <cellStyle name="SAPBEXfilterItem 2 4" xfId="1657" xr:uid="{B3C68D2B-7FF0-4A4F-BE6C-452FFD3B9A86}"/>
    <cellStyle name="SAPBEXfilterItem 3" xfId="3056" xr:uid="{55CFED75-56D0-456E-A9BC-2CB3D061E5F6}"/>
    <cellStyle name="SAPBEXfilterItem 4" xfId="1656" xr:uid="{7BC29FEA-E576-4E4F-B57E-5D6DE5502520}"/>
    <cellStyle name="SAPBEXfilterText" xfId="88" xr:uid="{00000000-0005-0000-0000-000041030000}"/>
    <cellStyle name="SAPBEXfilterText 2" xfId="1659" xr:uid="{2EAFFB29-3F08-4266-9241-CF3B4D1C05DF}"/>
    <cellStyle name="SAPBEXfilterText 2 2" xfId="3203" xr:uid="{EBF5D647-6FFC-4536-B73D-A6D2CE56CD38}"/>
    <cellStyle name="SAPBEXfilterText 2 3" xfId="3280" xr:uid="{202CDC45-E8FE-4DD6-B36E-5ABA6ED71F2F}"/>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3" xfId="3223" xr:uid="{C685FAC2-D748-4A2A-BF82-05F7B49B2697}"/>
    <cellStyle name="SAPBEXformats 2 3" xfId="1663" xr:uid="{4ECBCEA1-C1DE-43CA-9D78-A002EE25FEF8}"/>
    <cellStyle name="SAPBEXformats 2 3 2" xfId="3155" xr:uid="{23FFB165-B6F0-4581-893D-729ED88952E7}"/>
    <cellStyle name="SAPBEXformats 2 3 3" xfId="3237" xr:uid="{892E4439-009D-4C49-9C82-117EE0905FB5}"/>
    <cellStyle name="SAPBEXformats 2 4" xfId="3091" xr:uid="{4EE5D656-9808-4C75-8783-D09910C08B48}"/>
    <cellStyle name="SAPBEXformats 2 5" xfId="3182" xr:uid="{9E6AC1C4-FDF9-439F-9C11-65E3810FBF29}"/>
    <cellStyle name="SAPBEXformats 2 6" xfId="1661" xr:uid="{917D38CA-E680-4611-95E8-770B9227277A}"/>
    <cellStyle name="SAPBEXformats 3" xfId="3092" xr:uid="{F8490C7C-FD25-42A3-932C-E6CF57BAE55A}"/>
    <cellStyle name="SAPBEXformats 4" xfId="3185" xr:uid="{099559A9-2D0B-434F-A77C-A1E934A5D2B3}"/>
    <cellStyle name="SAPBEXformats 5" xfId="1660" xr:uid="{EAD56A5B-43C3-43B1-8B8E-3A885F87B1DF}"/>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3" xfId="3277" xr:uid="{CEF6A255-19E9-4B31-B11E-448113DEA785}"/>
    <cellStyle name="SAPBEXheaderItem 2 3" xfId="1667" xr:uid="{73365FD4-F9FB-4AD2-BE01-15C597FDED53}"/>
    <cellStyle name="SAPBEXheaderItem 2 3 2" xfId="3121" xr:uid="{AD57CECD-DB90-43DE-942B-3E41AFAD88EA}"/>
    <cellStyle name="SAPBEXheaderItem 2 3 3" xfId="3096" xr:uid="{40DAB32C-61C6-447C-86D5-175D4A8DB09C}"/>
    <cellStyle name="SAPBEXheaderItem 2 4" xfId="3146" xr:uid="{8EBE583F-0268-48B3-ABB7-26D48B03AA82}"/>
    <cellStyle name="SAPBEXheaderItem 2 5" xfId="3079" xr:uid="{82072485-BD4E-442E-BEDF-A8749C5A7F18}"/>
    <cellStyle name="SAPBEXheaderItem 3" xfId="3235" xr:uid="{D53ABB5E-3643-42E6-9B21-08EEA69DE1EA}"/>
    <cellStyle name="SAPBEXheaderItem 4" xfId="3158" xr:uid="{3DB807E6-BD30-4779-92F2-3B6DCECDC804}"/>
    <cellStyle name="SAPBEXheaderItem 5" xfId="1664" xr:uid="{3FC98029-37DE-49A6-AC7E-ABAEE4420013}"/>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3" xfId="3130" xr:uid="{9A8FBC6B-CCFC-4273-B4B0-3A71ACAE7F34}"/>
    <cellStyle name="SAPBEXheaderText 2 3" xfId="1671" xr:uid="{FEA0F069-5E53-45FC-B583-57DCFC6F8D64}"/>
    <cellStyle name="SAPBEXheaderText 2 3 2" xfId="3285" xr:uid="{A25D66E2-9BCA-4761-95A1-FFC09244C22A}"/>
    <cellStyle name="SAPBEXheaderText 2 3 3" xfId="3123" xr:uid="{ED5E1908-D043-40D6-B3FE-C7C82E1ED9ED}"/>
    <cellStyle name="SAPBEXheaderText 2 4" xfId="3233" xr:uid="{1DB7A1FF-F92F-4D76-B70B-C94F977E8EDB}"/>
    <cellStyle name="SAPBEXheaderText 2 5" xfId="3221" xr:uid="{7D6BF8C5-3C2A-483B-9B40-F49916D94FD9}"/>
    <cellStyle name="SAPBEXheaderText 3" xfId="3144" xr:uid="{7B55D53C-9EA3-4CF5-8157-D2F5E09B5BC5}"/>
    <cellStyle name="SAPBEXheaderText 4" xfId="3073" xr:uid="{FD02BF4F-842A-408B-8730-FBFD970C2019}"/>
    <cellStyle name="SAPBEXheaderText 5" xfId="1668" xr:uid="{6B0897FD-BAE9-4299-B132-3D800C1B68F2}"/>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3" xfId="3065" xr:uid="{E914C898-D2BD-4BBF-BB68-AB6CC65734FD}"/>
    <cellStyle name="SAPBEXHLevel0 2 3" xfId="1675" xr:uid="{B27FC2F0-F263-4D18-879B-CF196FB0A6DE}"/>
    <cellStyle name="SAPBEXHLevel0 2 3 2" xfId="3057" xr:uid="{157B5CCA-3C69-47DC-9831-7EB07731AB6B}"/>
    <cellStyle name="SAPBEXHLevel0 2 3 3" xfId="3067" xr:uid="{F6C17396-4025-4F47-9D88-B4D2F7AC8553}"/>
    <cellStyle name="SAPBEXHLevel0 2 4" xfId="3163" xr:uid="{C7A02F57-6BF0-4D0F-A1EF-52AB2D4AC8AD}"/>
    <cellStyle name="SAPBEXHLevel0 2 5" xfId="3234" xr:uid="{37AA15B5-E5C6-44D9-BCE9-E15CB5D70551}"/>
    <cellStyle name="SAPBEXHLevel0 2 6" xfId="1673" xr:uid="{4FFD3559-416C-4418-913E-589139F47BC8}"/>
    <cellStyle name="SAPBEXHLevel0 3" xfId="3054" xr:uid="{5482EA0F-F472-4C49-9A3B-40D951BDFCC5}"/>
    <cellStyle name="SAPBEXHLevel0 4" xfId="3086" xr:uid="{7D43D4A9-CF33-4142-92D2-E01DEE52393D}"/>
    <cellStyle name="SAPBEXHLevel0 5" xfId="1672" xr:uid="{260F3BE1-1942-46A2-A562-B5B766064538}"/>
    <cellStyle name="SAPBEXHLevel0X" xfId="93" xr:uid="{00000000-0005-0000-0000-000047030000}"/>
    <cellStyle name="SAPBEXHLevel0X 2" xfId="934" xr:uid="{813EE4E2-02AD-4BA4-B4E0-FB3EBA2FA67B}"/>
    <cellStyle name="SAPBEXHLevel0X 2 2" xfId="3224" xr:uid="{8F8CCF87-FF13-4FCF-8670-1B867124CC4C}"/>
    <cellStyle name="SAPBEXHLevel0X 2 3" xfId="3219" xr:uid="{D8C54BDF-2670-4CE5-B37F-B38527CA0278}"/>
    <cellStyle name="SAPBEXHLevel0X 2 4" xfId="1677" xr:uid="{32B63010-329F-4D76-8A7F-9FD229022CDF}"/>
    <cellStyle name="SAPBEXHLevel0X 3" xfId="3199" xr:uid="{EEAFB0A1-DEB3-4A98-875C-62B4CB6B81A9}"/>
    <cellStyle name="SAPBEXHLevel0X 4" xfId="3193" xr:uid="{DCBA5B0E-57AA-4F1F-944D-44CB4BBA7ECC}"/>
    <cellStyle name="SAPBEXHLevel0X 5" xfId="1676" xr:uid="{2B51D8E9-D1A4-403B-B2D6-36E138A0549F}"/>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3" xfId="3216" xr:uid="{D96BDD4F-CBA9-41F6-AFCD-C9E5F4E88061}"/>
    <cellStyle name="SAPBEXHLevel1 2 3" xfId="1681" xr:uid="{81F47840-BE41-487F-8D39-AC08035EE070}"/>
    <cellStyle name="SAPBEXHLevel1 2 3 2" xfId="3061" xr:uid="{DC77A17B-E078-43F2-8B44-84E2BEF2B92B}"/>
    <cellStyle name="SAPBEXHLevel1 2 3 3" xfId="3179" xr:uid="{1B4A4CE9-03F6-48EE-8A89-03514D11A30B}"/>
    <cellStyle name="SAPBEXHLevel1 2 4" xfId="3226" xr:uid="{8ABAB0FD-D553-443E-A739-3BCA558E441E}"/>
    <cellStyle name="SAPBEXHLevel1 2 5" xfId="3072" xr:uid="{6A09DDA2-6E4D-409D-962E-F08B34156114}"/>
    <cellStyle name="SAPBEXHLevel1 2 6" xfId="1679" xr:uid="{B67C742D-F57F-428E-985D-E5EAFEE208DC}"/>
    <cellStyle name="SAPBEXHLevel1 3" xfId="3281" xr:uid="{BA804709-4A62-4CB3-BA1A-E9A6DDE4BCBF}"/>
    <cellStyle name="SAPBEXHLevel1 4" xfId="3242" xr:uid="{F31E819A-0659-483B-8D96-6110D3190870}"/>
    <cellStyle name="SAPBEXHLevel1 5" xfId="1678" xr:uid="{62258D7D-8031-45D0-90DB-1C1F40C782D3}"/>
    <cellStyle name="SAPBEXHLevel1X" xfId="95" xr:uid="{00000000-0005-0000-0000-000049030000}"/>
    <cellStyle name="SAPBEXHLevel1X 2" xfId="936" xr:uid="{4198AE00-CB9B-4A91-9629-87766F783E40}"/>
    <cellStyle name="SAPBEXHLevel1X 2 2" xfId="3132" xr:uid="{F6549A4C-F75A-40FC-A0C6-95A2F56842B1}"/>
    <cellStyle name="SAPBEXHLevel1X 2 3" xfId="3102" xr:uid="{D401DEA8-3682-4F5A-9E5C-43DD484DBCA8}"/>
    <cellStyle name="SAPBEXHLevel1X 2 4" xfId="1683" xr:uid="{EB5E3A6F-DCF9-4D74-81D2-AB8762A7BC6A}"/>
    <cellStyle name="SAPBEXHLevel1X 3" xfId="3085" xr:uid="{F2A2836D-3FDF-4231-8FF4-02AB8ECB1EBB}"/>
    <cellStyle name="SAPBEXHLevel1X 4" xfId="3264" xr:uid="{63D45063-636F-489B-8378-B22C4F0AD139}"/>
    <cellStyle name="SAPBEXHLevel1X 5" xfId="1682" xr:uid="{7AA82E9D-E1D7-4196-894E-EC1CD17581F1}"/>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3" xfId="3266" xr:uid="{3EF86291-25F5-4611-B950-C58FB3E48C6B}"/>
    <cellStyle name="SAPBEXHLevel2 2 3" xfId="1687" xr:uid="{F3A6212E-BBDC-41EB-AE04-C8C0D8FB7DD3}"/>
    <cellStyle name="SAPBEXHLevel2 2 3 2" xfId="3152" xr:uid="{7BC8A612-3A88-44FD-BD08-93C1BB2DEDD8}"/>
    <cellStyle name="SAPBEXHLevel2 2 3 3" xfId="3077" xr:uid="{1C8FA20C-B05D-4A71-9B83-0926A2EB85AF}"/>
    <cellStyle name="SAPBEXHLevel2 2 4" xfId="3094" xr:uid="{2187196E-C82C-47D1-84EA-3DF46AABC06A}"/>
    <cellStyle name="SAPBEXHLevel2 2 5" xfId="3197" xr:uid="{12B87643-93D9-4BF2-8E1C-D6B4D2EAD30F}"/>
    <cellStyle name="SAPBEXHLevel2 2 6" xfId="1685" xr:uid="{2D80E795-DAC9-46F1-B95C-C10036BC1501}"/>
    <cellStyle name="SAPBEXHLevel2 3" xfId="3258" xr:uid="{CD214021-66A2-4D77-9F80-FA952FB153DD}"/>
    <cellStyle name="SAPBEXHLevel2 4" xfId="3214" xr:uid="{4461AEE9-A85A-443E-BE2A-40891D7BE9F5}"/>
    <cellStyle name="SAPBEXHLevel2 5" xfId="1684" xr:uid="{2D1B3528-73AD-4F5B-98F1-AAD6A1F325EB}"/>
    <cellStyle name="SAPBEXHLevel2X" xfId="97" xr:uid="{00000000-0005-0000-0000-00004B030000}"/>
    <cellStyle name="SAPBEXHLevel2X 2" xfId="938" xr:uid="{A67F28C8-8B88-4CF6-963E-478BFA3751FA}"/>
    <cellStyle name="SAPBEXHLevel2X 2 2" xfId="3231" xr:uid="{C1CA2D7D-33F5-4B52-B31C-3511AAFC3784}"/>
    <cellStyle name="SAPBEXHLevel2X 2 3" xfId="3161" xr:uid="{47EB5110-FB10-4FB0-B4FB-DAD9B141F86B}"/>
    <cellStyle name="SAPBEXHLevel2X 2 4" xfId="1689" xr:uid="{BDAA82C9-BCFF-408F-9D6B-51E125A3265C}"/>
    <cellStyle name="SAPBEXHLevel2X 3" xfId="3139" xr:uid="{BBF79FAF-D7FA-4F3D-AFB8-A253EAB0BBEE}"/>
    <cellStyle name="SAPBEXHLevel2X 4" xfId="3167" xr:uid="{85558F91-DA11-4406-A70E-BFF59C320976}"/>
    <cellStyle name="SAPBEXHLevel2X 5" xfId="1688" xr:uid="{F72307C4-13D2-4B84-8999-A0614543A787}"/>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3" xfId="3090" xr:uid="{7835B5FF-CBBC-471F-841D-A7E421953FC2}"/>
    <cellStyle name="SAPBEXHLevel3 2 3" xfId="1693" xr:uid="{EEC42B18-8434-4A9C-8573-47B77FB10DB1}"/>
    <cellStyle name="SAPBEXHLevel3 2 3 2" xfId="3147" xr:uid="{79AA4573-92F1-4125-AA13-F58437461D4A}"/>
    <cellStyle name="SAPBEXHLevel3 2 3 3" xfId="3215" xr:uid="{20608DAD-DC2E-468B-8444-938DDE98C1C1}"/>
    <cellStyle name="SAPBEXHLevel3 2 4" xfId="3238" xr:uid="{F81D12E0-72B9-4A7C-A99E-4C90C4A6772A}"/>
    <cellStyle name="SAPBEXHLevel3 2 5" xfId="3248" xr:uid="{C7E5924D-95F4-4D23-B446-41703BF07A32}"/>
    <cellStyle name="SAPBEXHLevel3 2 6" xfId="1691" xr:uid="{38D6B4A2-C277-49D6-A7DD-DF7D6215FF46}"/>
    <cellStyle name="SAPBEXHLevel3 3" xfId="3050" xr:uid="{194FD71D-4B6A-45DD-B082-5E5267BCB116}"/>
    <cellStyle name="SAPBEXHLevel3 4" xfId="3252" xr:uid="{3002B438-73DC-41D3-ABBB-FA217E67C2B0}"/>
    <cellStyle name="SAPBEXHLevel3 5" xfId="1690" xr:uid="{8B81F412-77FC-4173-9B40-8D37A3A8E7E9}"/>
    <cellStyle name="SAPBEXHLevel3X" xfId="99" xr:uid="{00000000-0005-0000-0000-00004D030000}"/>
    <cellStyle name="SAPBEXHLevel3X 2" xfId="940" xr:uid="{16EE4387-87B1-4194-BBF1-16E8DA5257CE}"/>
    <cellStyle name="SAPBEXHLevel3X 2 2" xfId="3137" xr:uid="{062B4B9E-5E32-4305-9261-4C98C71F730F}"/>
    <cellStyle name="SAPBEXHLevel3X 2 3" xfId="3062" xr:uid="{B74864E9-5A7E-4129-9466-C1FC17D3F159}"/>
    <cellStyle name="SAPBEXHLevel3X 2 4" xfId="1695" xr:uid="{97CC3850-8912-44A7-AECC-9B7D5CBE139B}"/>
    <cellStyle name="SAPBEXHLevel3X 3" xfId="3111" xr:uid="{0BA86707-23F3-4FF7-B9DD-0B363DA9B6C7}"/>
    <cellStyle name="SAPBEXHLevel3X 4" xfId="3150" xr:uid="{E96530CB-15B7-4064-A42B-A5CC62FB4C40}"/>
    <cellStyle name="SAPBEXHLevel3X 5" xfId="1694" xr:uid="{59CD1ED2-1588-4CDF-B9BC-DE2D6DB8967E}"/>
    <cellStyle name="SAPBEXinputData" xfId="100" xr:uid="{00000000-0005-0000-0000-00004E030000}"/>
    <cellStyle name="SAPBEXinputData 10" xfId="2567" xr:uid="{AAF63542-08EA-4DE3-B8EC-4EEC7ECD119E}"/>
    <cellStyle name="SAPBEXinputData 11" xfId="1696" xr:uid="{1A579113-A5AE-4617-B77A-69AB844094E5}"/>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3" xfId="2572" xr:uid="{DDF15937-116F-432B-9703-DA44E538CD8C}"/>
    <cellStyle name="SAPBEXinputData 3 2 2 2 3" xfId="1929" xr:uid="{49B078E0-2BC9-4B68-AA2D-1BF2B55605CA}"/>
    <cellStyle name="SAPBEXinputData 3 2 2 2 3 2" xfId="2767" xr:uid="{96195523-41E3-4534-8D1C-3B8A9D18A796}"/>
    <cellStyle name="SAPBEXinputData 3 2 2 2 4" xfId="2571" xr:uid="{4F49B3A6-CE7E-4BB1-84C6-F1422AD08AD9}"/>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3" xfId="2574" xr:uid="{E089D064-D85F-48D3-AD62-2DDD538D7EAD}"/>
    <cellStyle name="SAPBEXinputData 3 2 2 3 3" xfId="1930" xr:uid="{E589F60E-E408-40EF-9D5D-2D815D389A79}"/>
    <cellStyle name="SAPBEXinputData 3 2 2 3 3 2" xfId="2768" xr:uid="{71A7BD67-A496-4D25-8D8F-8DD2DE6537D9}"/>
    <cellStyle name="SAPBEXinputData 3 2 2 3 4" xfId="2573" xr:uid="{EA3EEF08-16BD-4672-8273-2462D1EC20A8}"/>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3" xfId="2575" xr:uid="{99635248-C55F-4E76-A7E0-4B72064230DB}"/>
    <cellStyle name="SAPBEXinputData 3 2 2 5" xfId="1928" xr:uid="{09E99A3D-B8EA-4B58-B0AC-44996109097B}"/>
    <cellStyle name="SAPBEXinputData 3 2 2 5 2" xfId="2766" xr:uid="{47821799-FA36-45BE-AC38-9F0F527D012D}"/>
    <cellStyle name="SAPBEXinputData 3 2 2 6" xfId="2570" xr:uid="{0A2A4471-46F4-443C-B9E9-695CB7C0620E}"/>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3" xfId="2577" xr:uid="{FCC10257-E003-4A50-8083-40E0B47C3C8C}"/>
    <cellStyle name="SAPBEXinputData 3 2 3 3" xfId="1931" xr:uid="{39C9F305-08C7-4C07-830C-59EBC22A23AC}"/>
    <cellStyle name="SAPBEXinputData 3 2 3 3 2" xfId="2769" xr:uid="{77B45266-43A8-46A3-910E-3DA7B6CA3299}"/>
    <cellStyle name="SAPBEXinputData 3 2 3 4" xfId="2576" xr:uid="{810C84F1-F424-46AE-ACB8-B5F0DEE1CADC}"/>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3" xfId="2579" xr:uid="{3BEF5AEF-669D-4116-B83F-8AA92404E331}"/>
    <cellStyle name="SAPBEXinputData 3 2 4 3" xfId="1932" xr:uid="{33DDD796-3835-4DA9-995F-E1B96575DB61}"/>
    <cellStyle name="SAPBEXinputData 3 2 4 3 2" xfId="2770" xr:uid="{B4F57D7E-B15A-4C22-9C6F-26301AD4503C}"/>
    <cellStyle name="SAPBEXinputData 3 2 4 4" xfId="2578" xr:uid="{A8D59F88-9AB3-4A96-A2EF-D66360185B84}"/>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3" xfId="2580" xr:uid="{EC90F5FD-D4F5-4F91-B837-532FAEECA4CB}"/>
    <cellStyle name="SAPBEXinputData 3 2 6" xfId="1927" xr:uid="{2DCAAEF4-3A18-4631-A305-AF391C47E61D}"/>
    <cellStyle name="SAPBEXinputData 3 2 6 2" xfId="2765" xr:uid="{0D56C213-040A-48FF-B6D8-A286984A10AA}"/>
    <cellStyle name="SAPBEXinputData 3 2 7" xfId="2569" xr:uid="{3C9E0BEB-F2FC-4601-9BD9-9976393D77A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3" xfId="2583" xr:uid="{2FB5F220-EEFB-44FE-98CB-3131F12155B0}"/>
    <cellStyle name="SAPBEXinputData 3 3 2 3" xfId="1934" xr:uid="{1ECFBDC3-44E8-4C5D-A86F-CE39CFCF9D1D}"/>
    <cellStyle name="SAPBEXinputData 3 3 2 3 2" xfId="2772" xr:uid="{F5716692-C209-413B-B8E9-2B44814AF0FD}"/>
    <cellStyle name="SAPBEXinputData 3 3 2 4" xfId="2582" xr:uid="{6B97D162-B437-46BE-A40A-228959DE96BA}"/>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3" xfId="2585" xr:uid="{79481D60-6783-4AB2-877E-B0985AE06EDC}"/>
    <cellStyle name="SAPBEXinputData 3 3 3 3" xfId="1935" xr:uid="{27ADB23A-A418-4A14-AC22-A4E8A8C4F24C}"/>
    <cellStyle name="SAPBEXinputData 3 3 3 3 2" xfId="2773" xr:uid="{E22F1A86-4D5C-4D34-93B2-953F68ED9945}"/>
    <cellStyle name="SAPBEXinputData 3 3 3 4" xfId="2584" xr:uid="{A9A9F4E4-E5C1-4FFF-A799-76F15328A3F7}"/>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3" xfId="2586" xr:uid="{0AB524D2-C6E2-435F-8C75-99AC390E6EEA}"/>
    <cellStyle name="SAPBEXinputData 3 3 5" xfId="1933" xr:uid="{82E14327-FC2E-42F1-A990-3EA35D112C92}"/>
    <cellStyle name="SAPBEXinputData 3 3 5 2" xfId="2771" xr:uid="{5BF0BF84-C591-4C44-AB95-50AE4CE8BA6D}"/>
    <cellStyle name="SAPBEXinputData 3 3 6" xfId="2581" xr:uid="{762A5257-34DD-4611-B4D5-CB2B981C6F48}"/>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3" xfId="2588" xr:uid="{E42E7BEE-5108-493C-9706-BBC294382E90}"/>
    <cellStyle name="SAPBEXinputData 3 4 3" xfId="1936" xr:uid="{F1C7D784-5A72-41BB-8BE1-52DF61EE07FA}"/>
    <cellStyle name="SAPBEXinputData 3 4 3 2" xfId="2774" xr:uid="{701F95A4-0EDA-41F0-B6E2-8FBB9351C097}"/>
    <cellStyle name="SAPBEXinputData 3 4 4" xfId="2587" xr:uid="{E56333AD-37C3-426D-8AB9-AD73E2B0DAE9}"/>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3" xfId="2590" xr:uid="{4D66178D-F3EC-45C6-93BD-D35A7A050298}"/>
    <cellStyle name="SAPBEXinputData 3 5 3" xfId="1937" xr:uid="{8478C87B-EA67-47D7-8E48-4F864B5B9C06}"/>
    <cellStyle name="SAPBEXinputData 3 5 3 2" xfId="2775" xr:uid="{43B3F61D-8489-4CFF-A08C-3C832FF9D56B}"/>
    <cellStyle name="SAPBEXinputData 3 5 4" xfId="2589" xr:uid="{81B53D3E-A5D6-4ADE-9D84-6C400B8B5687}"/>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3" xfId="2591" xr:uid="{59957EFD-77FF-4D98-88D2-B46D41BAD10A}"/>
    <cellStyle name="SAPBEXinputData 3 7" xfId="1926" xr:uid="{1DDF0F80-74EA-4C2E-ADDC-0D1D081FB545}"/>
    <cellStyle name="SAPBEXinputData 3 7 2" xfId="2764" xr:uid="{224F7EBB-9B2B-47D3-B3C9-6F7B174F7596}"/>
    <cellStyle name="SAPBEXinputData 3 8" xfId="2568" xr:uid="{646A1240-742C-4B5D-86DC-F7A85D1E5C7E}"/>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3" xfId="2595" xr:uid="{2EAE74A1-CDF6-40CF-B62F-3D9D82DB721F}"/>
    <cellStyle name="SAPBEXinputData 4 2 2 3" xfId="1940" xr:uid="{88B75914-9B56-46B7-A624-5A08AB9400DA}"/>
    <cellStyle name="SAPBEXinputData 4 2 2 3 2" xfId="2778" xr:uid="{28DAA0EE-37E3-499D-A984-9C70D1C841FF}"/>
    <cellStyle name="SAPBEXinputData 4 2 2 4" xfId="2594" xr:uid="{6D0E931D-F845-4D84-8BD1-632459D01994}"/>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3" xfId="2597" xr:uid="{B1902837-7A3A-40AD-A158-2C138FD38254}"/>
    <cellStyle name="SAPBEXinputData 4 2 3 3" xfId="1941" xr:uid="{B01859D4-A00B-41D3-B2AC-A94E0B54FBB3}"/>
    <cellStyle name="SAPBEXinputData 4 2 3 3 2" xfId="2779" xr:uid="{AC1015E7-4002-4B32-89A2-26B19218282A}"/>
    <cellStyle name="SAPBEXinputData 4 2 3 4" xfId="2596" xr:uid="{D4F25CC6-122A-49F4-8288-B1C578DDF1ED}"/>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3" xfId="2598" xr:uid="{6915977F-6868-4F0E-A54B-CE51D3E66155}"/>
    <cellStyle name="SAPBEXinputData 4 2 5" xfId="1939" xr:uid="{5EB2C34E-A30C-4BC4-8AAC-678F3E9E0313}"/>
    <cellStyle name="SAPBEXinputData 4 2 5 2" xfId="2777" xr:uid="{F7B7B427-AE75-4512-840E-B573F17E34C6}"/>
    <cellStyle name="SAPBEXinputData 4 2 6" xfId="2593" xr:uid="{2BD2FBB2-CE01-4772-9C0A-1C4E0A555D94}"/>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3" xfId="2600" xr:uid="{C8C8EFCE-76E0-4C40-AE54-1640848F4E8E}"/>
    <cellStyle name="SAPBEXinputData 4 3 3" xfId="1942" xr:uid="{8E6CC0FA-E2E0-4CB4-BB52-DA182DBA2F2A}"/>
    <cellStyle name="SAPBEXinputData 4 3 3 2" xfId="2780" xr:uid="{75DB3914-4466-443D-9D9D-23BB075DB32E}"/>
    <cellStyle name="SAPBEXinputData 4 3 4" xfId="2599" xr:uid="{7EADADB6-353A-4EF0-92C0-E5709730C644}"/>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3" xfId="2602" xr:uid="{B14EB756-E5A7-475E-8E29-6F837E480DEE}"/>
    <cellStyle name="SAPBEXinputData 4 4 3" xfId="1943" xr:uid="{ECD161EF-C41C-4218-B765-E7300B860C18}"/>
    <cellStyle name="SAPBEXinputData 4 4 3 2" xfId="2781" xr:uid="{1310E3C7-9AB5-4A77-899B-54BAACD49821}"/>
    <cellStyle name="SAPBEXinputData 4 4 4" xfId="2601" xr:uid="{FABC820D-BA09-42D3-85E4-95AA0D20124A}"/>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3" xfId="2603" xr:uid="{C54BF548-223D-4364-9F65-CC04C59043D9}"/>
    <cellStyle name="SAPBEXinputData 4 6" xfId="1938" xr:uid="{ADCF935C-74F4-438C-9B55-C08943C103DF}"/>
    <cellStyle name="SAPBEXinputData 4 6 2" xfId="2776" xr:uid="{C68B494D-9C2F-457B-A575-640E7A037CC7}"/>
    <cellStyle name="SAPBEXinputData 4 7" xfId="2592" xr:uid="{B0660C25-8D44-4B4C-98D6-67E5695C59B3}"/>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3" xfId="2606" xr:uid="{651D8948-BE09-46F2-9274-65AC252440D8}"/>
    <cellStyle name="SAPBEXinputData 5 2 3" xfId="1945" xr:uid="{BBEA4784-D1A6-4899-8798-BD8662343B3B}"/>
    <cellStyle name="SAPBEXinputData 5 2 3 2" xfId="2783" xr:uid="{E5733EF6-8BA0-4D5E-A08E-E1BD63D27CFF}"/>
    <cellStyle name="SAPBEXinputData 5 2 4" xfId="2605" xr:uid="{0F0A4A30-63A5-4D4E-BA3D-BD857392CDCD}"/>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3" xfId="2608" xr:uid="{9C3445DF-9509-421C-B633-5F31EC43F1A1}"/>
    <cellStyle name="SAPBEXinputData 5 3 3" xfId="1946" xr:uid="{9A203C3B-A693-4550-A338-1D7BF656CF12}"/>
    <cellStyle name="SAPBEXinputData 5 3 3 2" xfId="2784" xr:uid="{61F4CEA1-34B5-47EA-8585-61E838D4A701}"/>
    <cellStyle name="SAPBEXinputData 5 3 4" xfId="2607" xr:uid="{202778C2-CEDD-4B64-830B-6D01744CF48B}"/>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3" xfId="2609" xr:uid="{77591C62-202A-411E-97A4-D92049A492B3}"/>
    <cellStyle name="SAPBEXinputData 5 5" xfId="1944" xr:uid="{2BFA106E-7F0D-46CD-9C49-8F67178707F6}"/>
    <cellStyle name="SAPBEXinputData 5 5 2" xfId="2782" xr:uid="{A744B0A5-E6C7-4751-A352-3160158C18A0}"/>
    <cellStyle name="SAPBEXinputData 5 6" xfId="2604" xr:uid="{726AE2ED-CF95-4FED-879B-952EBE38E111}"/>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3" xfId="2611" xr:uid="{28A49CBE-3FFE-47C2-8BB8-2BB510040A4C}"/>
    <cellStyle name="SAPBEXinputData 6 3" xfId="1947" xr:uid="{576A6C4E-41DF-49A0-8540-39E53DEEFA99}"/>
    <cellStyle name="SAPBEXinputData 6 3 2" xfId="2785" xr:uid="{2AB139A8-2A4E-47B2-A3CC-47E1D9095094}"/>
    <cellStyle name="SAPBEXinputData 6 4" xfId="2610" xr:uid="{887F7A9F-2E81-45EB-BF98-C64BF48B37B2}"/>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3" xfId="2613" xr:uid="{40ACEDCB-1DC8-4B37-8E6B-929F9E502B83}"/>
    <cellStyle name="SAPBEXinputData 7 3" xfId="1948" xr:uid="{EDFBBEB9-F0DF-4840-B0A1-699AEA3C5305}"/>
    <cellStyle name="SAPBEXinputData 7 3 2" xfId="2786" xr:uid="{4E519B49-4883-4BB5-AA0F-CA1D97D9D500}"/>
    <cellStyle name="SAPBEXinputData 7 4" xfId="2612" xr:uid="{79372DB8-D707-42FE-934E-3BE012077E30}"/>
    <cellStyle name="SAPBEXinputData 8" xfId="1744" xr:uid="{20692C8D-BC70-480B-8AAD-90F3005CB57D}"/>
    <cellStyle name="SAPBEXinputData 8 2" xfId="2095" xr:uid="{776AADCC-CCBF-460C-BD1E-651A2A965DA7}"/>
    <cellStyle name="SAPBEXinputData 8 2 2" xfId="2933" xr:uid="{4A8BA7EB-2204-4E6B-B80B-B0BC613E7BF4}"/>
    <cellStyle name="SAPBEXinputData 8 3" xfId="2614" xr:uid="{83A102BC-1B4D-4DE9-85C4-E7210BF91455}"/>
    <cellStyle name="SAPBEXinputData 9" xfId="1925" xr:uid="{7F807C61-556E-4BEA-A6BB-8C081C68A9C7}"/>
    <cellStyle name="SAPBEXinputData 9 2" xfId="2763" xr:uid="{E6B183FF-7F4A-4D2E-A70B-5061D0BE0491}"/>
    <cellStyle name="SAPBEXItemHeader" xfId="1745" xr:uid="{DD6CA560-4A36-483C-8953-1BF231E1EB1F}"/>
    <cellStyle name="SAPBEXItemHeader 2" xfId="3265" xr:uid="{2EC7314F-6A05-4E67-99E1-4DE74E76035E}"/>
    <cellStyle name="SAPBEXItemHeader 3" xfId="3060" xr:uid="{0738AF2B-D779-4A85-9E5B-65EDC3B5AF8D}"/>
    <cellStyle name="SAPBEXresData" xfId="101" xr:uid="{00000000-0005-0000-0000-00004F030000}"/>
    <cellStyle name="SAPBEXresData 2" xfId="139" xr:uid="{00000000-0005-0000-0000-000050030000}"/>
    <cellStyle name="SAPBEXresData 2 2" xfId="3230" xr:uid="{4801B8EF-FC35-473B-82C7-C6A72948F30E}"/>
    <cellStyle name="SAPBEXresData 2 3" xfId="3229" xr:uid="{EF224C7C-6E01-407D-9911-6C5CC6050B76}"/>
    <cellStyle name="SAPBEXresData 2 4" xfId="1747" xr:uid="{FBE9E92B-255D-4B37-82A1-B9F118BB2257}"/>
    <cellStyle name="SAPBEXresData 3" xfId="3045" xr:uid="{D90D24B0-9330-4026-B44D-E73E2B9A938C}"/>
    <cellStyle name="SAPBEXresData 4" xfId="3165" xr:uid="{576E1856-1214-4D79-A8BD-8B58BF6DE9A9}"/>
    <cellStyle name="SAPBEXresData 5" xfId="1746" xr:uid="{671C23F3-614D-4F0F-A68D-50BAA3C21D10}"/>
    <cellStyle name="SAPBEXresDataEmph" xfId="102" xr:uid="{00000000-0005-0000-0000-000051030000}"/>
    <cellStyle name="SAPBEXresDataEmph 2" xfId="1749" xr:uid="{1C541A26-0409-45DA-A414-55DDA3080D07}"/>
    <cellStyle name="SAPBEXresDataEmph 2 2" xfId="3104" xr:uid="{05692A21-EEE4-431F-BE09-0D252F5A93D3}"/>
    <cellStyle name="SAPBEXresDataEmph 3" xfId="3109" xr:uid="{FB2B5432-778B-4941-B9D1-6B66B275C095}"/>
    <cellStyle name="SAPBEXresDataEmph 4" xfId="3207" xr:uid="{6140352F-6FED-4E25-9619-2297603739B0}"/>
    <cellStyle name="SAPBEXresDataEmph 5" xfId="1748" xr:uid="{0566DAAE-C3FB-472B-A76C-DB5553C496AB}"/>
    <cellStyle name="SAPBEXresItem" xfId="103" xr:uid="{00000000-0005-0000-0000-000052030000}"/>
    <cellStyle name="SAPBEXresItem 2" xfId="140" xr:uid="{00000000-0005-0000-0000-000053030000}"/>
    <cellStyle name="SAPBEXresItem 2 2" xfId="3271" xr:uid="{ED142BE8-CE84-4036-B482-C8705B9177A4}"/>
    <cellStyle name="SAPBEXresItem 2 3" xfId="3145" xr:uid="{59241FFD-4891-43B2-9E20-E0C288986ADF}"/>
    <cellStyle name="SAPBEXresItem 2 4" xfId="1751" xr:uid="{849A065E-F31F-40FD-95D8-4729FDA2A894}"/>
    <cellStyle name="SAPBEXresItem 3" xfId="3142" xr:uid="{6790EF59-35F7-49E2-B284-9610B159AD0F}"/>
    <cellStyle name="SAPBEXresItem 4" xfId="3259" xr:uid="{44213227-9F9E-4DC7-9299-F0DB1D31C26F}"/>
    <cellStyle name="SAPBEXresItem 5" xfId="1750" xr:uid="{D2F22319-EFC3-4421-8AE6-D304A2DE7E78}"/>
    <cellStyle name="SAPBEXresItemX" xfId="104" xr:uid="{00000000-0005-0000-0000-000054030000}"/>
    <cellStyle name="SAPBEXresItemX 2" xfId="141" xr:uid="{00000000-0005-0000-0000-000055030000}"/>
    <cellStyle name="SAPBEXresItemX 2 2" xfId="3184" xr:uid="{53690D77-EBAB-472F-8354-41FE608EA1AB}"/>
    <cellStyle name="SAPBEXresItemX 2 3" xfId="3078" xr:uid="{0910C8F3-FD5A-4553-AA14-033D8AD3B238}"/>
    <cellStyle name="SAPBEXresItemX 2 4" xfId="1753" xr:uid="{AEF461DC-586E-4C07-9D3B-E160EE9E1E14}"/>
    <cellStyle name="SAPBEXresItemX 3" xfId="945" xr:uid="{A986BF0C-E6BA-4D74-9C4F-43A03DE97EEB}"/>
    <cellStyle name="SAPBEXresItemX 3 2" xfId="3228" xr:uid="{1F65111D-43F9-4795-AE1F-8D3C9AFA6B34}"/>
    <cellStyle name="SAPBEXresItemX 4" xfId="3274" xr:uid="{5B955A2D-A3B4-45A6-9EE9-1BB265851C65}"/>
    <cellStyle name="SAPBEXresItemX 5" xfId="1752" xr:uid="{95CABAE8-6F63-425C-A835-3752583C5DB9}"/>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3" xfId="3254" xr:uid="{E7E79820-5EC9-40A0-B44A-BBEB895994B0}"/>
    <cellStyle name="SAPBEXstdData 2 2 3" xfId="3052" xr:uid="{7E41A4BC-2233-4ADE-B5DB-6629EC38C317}"/>
    <cellStyle name="SAPBEXstdData 2 2 4" xfId="3301" xr:uid="{1B8A748A-4372-4C18-A2F5-01CFF9879DBB}"/>
    <cellStyle name="SAPBEXstdData 2 3" xfId="1758" xr:uid="{E9F317E6-DEB5-40EF-B50A-F9DE0919E3B3}"/>
    <cellStyle name="SAPBEXstdData 2 3 2" xfId="3044" xr:uid="{D2B9FA23-59FF-4C27-BF71-E03D5B97670F}"/>
    <cellStyle name="SAPBEXstdData 2 3 3" xfId="3299" xr:uid="{E13CD35D-934C-409F-B688-8237B74A5BB3}"/>
    <cellStyle name="SAPBEXstdData 2 4" xfId="3159" xr:uid="{D39A96E0-4920-46B3-9D15-EE9D8AB47BFD}"/>
    <cellStyle name="SAPBEXstdData 2 5" xfId="3098" xr:uid="{37F73EF2-E06D-44F2-94FB-03CFFDDED03F}"/>
    <cellStyle name="SAPBEXstdData 2 6" xfId="1755" xr:uid="{9755F09E-688B-4712-89A1-DFF3A552EE58}"/>
    <cellStyle name="SAPBEXstdData 3" xfId="889" xr:uid="{A87DB1B3-E42C-412B-BA07-8E4275339EE4}"/>
    <cellStyle name="SAPBEXstdData 3 2" xfId="3100" xr:uid="{FC058B3D-AC7E-4D8C-9597-83CD34034591}"/>
    <cellStyle name="SAPBEXstdData 4" xfId="3113" xr:uid="{F322F71E-43BB-4C50-B396-D6A505D15F9E}"/>
    <cellStyle name="SAPBEXstdData 5" xfId="1754" xr:uid="{FFE62272-6AD1-4EFC-A9DE-1C29880286ED}"/>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3" xfId="3239" xr:uid="{91B0E418-6484-47CE-AC7E-2FFEE8193AA6}"/>
    <cellStyle name="SAPBEXstdDataEmph 3" xfId="3208" xr:uid="{B02E2C00-F475-431C-A96D-17321273C03C}"/>
    <cellStyle name="SAPBEXstdDataEmph 4" xfId="3303" xr:uid="{142E2079-46D2-4A14-A8D9-591CCC38FD42}"/>
    <cellStyle name="SAPBEXstdDataEmph 5" xfId="1760" xr:uid="{1D8F0283-0FA9-424B-BBBD-598B4EE031F5}"/>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3" xfId="3302" xr:uid="{4BB1D325-2816-4AE4-8635-C4F430D4F726}"/>
    <cellStyle name="SAPBEXstdItem 2 3" xfId="1765" xr:uid="{CDD482C5-4598-46EF-95EC-76B6E87D3B67}"/>
    <cellStyle name="SAPBEXstdItem 2 3 2" xfId="3257" xr:uid="{3B3AB500-1125-40A4-9849-51E489E0E5A9}"/>
    <cellStyle name="SAPBEXstdItem 2 3 3" xfId="3108" xr:uid="{9B37BABF-B24F-4A49-8677-DAE7E65DB18E}"/>
    <cellStyle name="SAPBEXstdItem 2 4" xfId="3095" xr:uid="{8BB18BED-6EAC-43C6-BD27-B49F1C945BE6}"/>
    <cellStyle name="SAPBEXstdItem 2 5" xfId="3180" xr:uid="{F5CF98F1-D9E0-4D08-A549-189006DF9200}"/>
    <cellStyle name="SAPBEXstdItem 2 6" xfId="1763" xr:uid="{3999662E-782D-4D68-820D-4F757E8C65C6}"/>
    <cellStyle name="SAPBEXstdItem 3" xfId="890" xr:uid="{045C2561-423E-4B09-9F8E-E7C7DA435F49}"/>
    <cellStyle name="SAPBEXstdItem 3 2" xfId="3244" xr:uid="{77FA904F-8838-45F4-9FA0-10EF2C0A0822}"/>
    <cellStyle name="SAPBEXstdItem 4" xfId="3300" xr:uid="{8EB0487E-28F8-46C9-9F68-847257ED2211}"/>
    <cellStyle name="SAPBEXstdItem 5" xfId="1762" xr:uid="{FEC4E776-1285-4D59-9D0E-66AD54C7993B}"/>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3" xfId="3297" xr:uid="{10EAD126-FD20-43EF-B373-8D15196882E9}"/>
    <cellStyle name="SAPBEXstdItemX 2 4" xfId="1768" xr:uid="{41A06426-20C4-4E20-8EB0-43AE83C99905}"/>
    <cellStyle name="SAPBEXstdItemX 3" xfId="949" xr:uid="{BC771335-9857-4003-AA06-21242087AB2F}"/>
    <cellStyle name="SAPBEXstdItemX 3 2" xfId="3097" xr:uid="{7A282F8C-A837-4F0B-A93B-5CCEDF314816}"/>
    <cellStyle name="SAPBEXstdItemX 4" xfId="3114" xr:uid="{D71F835E-5326-4EE7-8749-1AF43A646AEA}"/>
    <cellStyle name="SAPBEXstdItemX 5" xfId="1767" xr:uid="{51DB7923-555E-47B1-99BF-E5192B0AF1AE}"/>
    <cellStyle name="SAPBEXtitle" xfId="109" xr:uid="{00000000-0005-0000-0000-00005D030000}"/>
    <cellStyle name="SAPBEXtitle 2" xfId="1770" xr:uid="{AB380B6C-104A-4764-A557-2620C69181A7}"/>
    <cellStyle name="SAPBEXtitle 2 2" xfId="3148" xr:uid="{01CBBD32-3A40-45CA-B2BB-AC26D67E1ED8}"/>
    <cellStyle name="SAPBEXtitle 2 3" xfId="3295" xr:uid="{4131EAF6-F201-4FEA-B8BA-EB88098CD1CF}"/>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3" xfId="1773" xr:uid="{0C8120C1-8347-4CFB-A22C-998861B79FB7}"/>
    <cellStyle name="SAPBEXunassignedItem 3 2" xfId="3151" xr:uid="{BE7FB166-B4C2-4502-96A8-36DEC2E5D607}"/>
    <cellStyle name="SAPBEXunassignedItem 4" xfId="3080" xr:uid="{82A2B1BF-FE18-4A65-91E3-977ECE9D76B9}"/>
    <cellStyle name="SAPBEXundefined" xfId="110" xr:uid="{00000000-0005-0000-0000-00005E030000}"/>
    <cellStyle name="SAPBEXundefined 2" xfId="1775" xr:uid="{EDD78056-FAC7-483C-B368-650D12C59F96}"/>
    <cellStyle name="SAPBEXundefined 2 2" xfId="3213" xr:uid="{7A758E2A-FA07-40BE-9A4E-23441FC25F7B}"/>
    <cellStyle name="SAPBEXundefined 2 3" xfId="3068" xr:uid="{ACD26AF5-F260-4E8B-BFDD-7A3C7DB6AA59}"/>
    <cellStyle name="SAPBEXundefined 3" xfId="3284" xr:uid="{377F57E8-45FD-414D-A171-B817545A4E1F}"/>
    <cellStyle name="SAPBEXundefined 4" xfId="3298" xr:uid="{8DFEED10-5827-4ED4-9253-788C0AECFABD}"/>
    <cellStyle name="SAPBEXundefined 5" xfId="1774" xr:uid="{98824E1C-FBA2-457A-B508-9FB42F451674}"/>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2 2" xfId="1778" xr:uid="{179976E3-04EB-4C47-B29E-63F54A6D3201}"/>
    <cellStyle name="Total 2 2 2" xfId="3162" xr:uid="{ED8282DE-82DE-4016-90DC-792A93E0888E}"/>
    <cellStyle name="Total 2 3" xfId="3172" xr:uid="{EC3534D5-41D2-43AF-B4AC-8C381F170761}"/>
    <cellStyle name="Total 2 4" xfId="1777" xr:uid="{20809672-789B-4F9B-B2B6-D104885B016E}"/>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403" customFormat="1" ht="39.5" thickBot="1">
      <c r="A1" s="404" t="s">
        <v>0</v>
      </c>
      <c r="B1" s="404" t="s">
        <v>1</v>
      </c>
      <c r="C1" s="404" t="s">
        <v>2</v>
      </c>
      <c r="D1" s="404" t="s">
        <v>3</v>
      </c>
      <c r="E1" s="405" t="s">
        <v>4</v>
      </c>
      <c r="F1" s="406" t="s">
        <v>5</v>
      </c>
      <c r="G1" s="407" t="s">
        <v>6</v>
      </c>
      <c r="H1" s="408" t="s">
        <v>7</v>
      </c>
    </row>
    <row r="2" spans="1:8" ht="15.5" thickTop="1" thickBot="1">
      <c r="A2" s="413">
        <v>0</v>
      </c>
      <c r="B2" s="85" t="s">
        <v>8</v>
      </c>
      <c r="C2" s="414"/>
      <c r="D2" s="404" t="s">
        <v>9</v>
      </c>
      <c r="E2" s="409">
        <v>1</v>
      </c>
      <c r="F2" s="410" t="s">
        <v>10</v>
      </c>
      <c r="G2" s="40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1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401">
        <v>1</v>
      </c>
      <c r="B3" s="398" t="s">
        <v>11</v>
      </c>
      <c r="C3" s="414"/>
      <c r="D3" s="399" t="s">
        <v>9</v>
      </c>
      <c r="E3" s="409">
        <v>1</v>
      </c>
      <c r="F3" s="410" t="s">
        <v>10</v>
      </c>
      <c r="G3"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401">
        <v>2</v>
      </c>
      <c r="B4" s="398" t="s">
        <v>12</v>
      </c>
      <c r="C4" s="414" t="s">
        <v>13</v>
      </c>
      <c r="D4" s="399" t="s">
        <v>9</v>
      </c>
      <c r="E4" s="409">
        <v>1</v>
      </c>
      <c r="F4" s="410" t="s">
        <v>10</v>
      </c>
      <c r="G4"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401">
        <v>3</v>
      </c>
      <c r="B5" s="398" t="s">
        <v>14</v>
      </c>
      <c r="C5" s="414"/>
      <c r="D5" s="399" t="s">
        <v>9</v>
      </c>
      <c r="E5" s="409">
        <v>1</v>
      </c>
      <c r="F5" s="410" t="s">
        <v>10</v>
      </c>
      <c r="G5"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401">
        <v>4</v>
      </c>
      <c r="B6" s="398" t="s">
        <v>15</v>
      </c>
      <c r="C6" s="414" t="s">
        <v>16</v>
      </c>
      <c r="D6" s="399" t="s">
        <v>9</v>
      </c>
      <c r="E6" s="409">
        <v>1</v>
      </c>
      <c r="F6" s="410" t="s">
        <v>10</v>
      </c>
      <c r="G6"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401">
        <v>5</v>
      </c>
      <c r="B7" s="399" t="s">
        <v>17</v>
      </c>
      <c r="C7" s="414" t="s">
        <v>18</v>
      </c>
      <c r="D7" s="399" t="s">
        <v>19</v>
      </c>
      <c r="E7" s="409">
        <v>1</v>
      </c>
      <c r="F7" s="410" t="s">
        <v>10</v>
      </c>
      <c r="G7"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401">
        <v>6</v>
      </c>
      <c r="B8" s="399" t="s">
        <v>20</v>
      </c>
      <c r="C8" s="414" t="s">
        <v>18</v>
      </c>
      <c r="D8" s="399" t="s">
        <v>9</v>
      </c>
      <c r="E8" s="409">
        <v>1</v>
      </c>
      <c r="F8" s="410" t="s">
        <v>10</v>
      </c>
      <c r="G8"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401">
        <v>7</v>
      </c>
      <c r="B9" s="399" t="s">
        <v>21</v>
      </c>
      <c r="C9" s="414" t="s">
        <v>22</v>
      </c>
      <c r="D9" s="399" t="s">
        <v>19</v>
      </c>
      <c r="E9" s="409">
        <v>1</v>
      </c>
      <c r="F9" s="410" t="s">
        <v>10</v>
      </c>
      <c r="G9"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401">
        <v>8</v>
      </c>
      <c r="B10" s="399" t="s">
        <v>23</v>
      </c>
      <c r="C10" s="414" t="s">
        <v>22</v>
      </c>
      <c r="D10" s="399" t="s">
        <v>9</v>
      </c>
      <c r="E10" s="409">
        <v>1</v>
      </c>
      <c r="F10" s="410" t="s">
        <v>10</v>
      </c>
      <c r="G10"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401">
        <v>9</v>
      </c>
      <c r="B11" s="399" t="s">
        <v>24</v>
      </c>
      <c r="C11" s="414"/>
      <c r="D11" s="399" t="s">
        <v>9</v>
      </c>
      <c r="E11" s="409">
        <v>1</v>
      </c>
      <c r="F11" s="410" t="s">
        <v>10</v>
      </c>
      <c r="G11"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401">
        <v>10</v>
      </c>
      <c r="B12" s="399" t="s">
        <v>25</v>
      </c>
      <c r="C12" s="414"/>
      <c r="D12" s="399" t="s">
        <v>9</v>
      </c>
      <c r="E12" s="409">
        <v>1</v>
      </c>
      <c r="F12" s="410" t="s">
        <v>10</v>
      </c>
      <c r="G12"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401">
        <v>11</v>
      </c>
      <c r="B13" s="399" t="s">
        <v>26</v>
      </c>
      <c r="C13" s="414"/>
      <c r="D13" s="399" t="s">
        <v>9</v>
      </c>
      <c r="E13" s="409">
        <v>1</v>
      </c>
      <c r="F13" s="410" t="s">
        <v>10</v>
      </c>
      <c r="G13"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3"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0.17743</v>
      </c>
    </row>
    <row r="14" spans="1:8" ht="13.5" thickTop="1" thickBot="1">
      <c r="A14" s="401">
        <v>12</v>
      </c>
      <c r="B14" s="398" t="s">
        <v>27</v>
      </c>
      <c r="C14" s="398"/>
      <c r="D14" s="399" t="s">
        <v>19</v>
      </c>
      <c r="E14" s="409">
        <v>1</v>
      </c>
      <c r="F14" s="410" t="s">
        <v>10</v>
      </c>
      <c r="G14"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4"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4.327015207260847</v>
      </c>
    </row>
    <row r="15" spans="1:8" ht="15.5" thickTop="1" thickBot="1">
      <c r="A15" s="413">
        <v>0</v>
      </c>
      <c r="B15" s="85" t="s">
        <v>8</v>
      </c>
      <c r="C15" s="414"/>
      <c r="D15" s="404" t="s">
        <v>9</v>
      </c>
      <c r="E15" s="409">
        <v>2</v>
      </c>
      <c r="F15" s="410" t="s">
        <v>28</v>
      </c>
      <c r="G15" s="40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15" s="41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16" spans="1:8" ht="15.5" thickTop="1" thickBot="1">
      <c r="A16" s="401">
        <v>1</v>
      </c>
      <c r="B16" s="399" t="s">
        <v>11</v>
      </c>
      <c r="C16" s="414"/>
      <c r="D16" s="399" t="s">
        <v>9</v>
      </c>
      <c r="E16" s="402">
        <v>2</v>
      </c>
      <c r="F16" s="411" t="s">
        <v>28</v>
      </c>
      <c r="G16"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16"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17" spans="1:8" ht="15.5" thickTop="1" thickBot="1">
      <c r="A17" s="401">
        <v>2</v>
      </c>
      <c r="B17" s="399" t="s">
        <v>12</v>
      </c>
      <c r="C17" s="414" t="s">
        <v>13</v>
      </c>
      <c r="D17" s="399" t="s">
        <v>9</v>
      </c>
      <c r="E17" s="402">
        <v>2</v>
      </c>
      <c r="F17" s="411" t="s">
        <v>28</v>
      </c>
      <c r="G17"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401">
        <v>3</v>
      </c>
      <c r="B18" s="399" t="s">
        <v>14</v>
      </c>
      <c r="C18" s="414"/>
      <c r="D18" s="399" t="s">
        <v>9</v>
      </c>
      <c r="E18" s="402">
        <v>2</v>
      </c>
      <c r="F18" s="411" t="s">
        <v>28</v>
      </c>
      <c r="G18"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401">
        <v>4</v>
      </c>
      <c r="B19" s="399" t="s">
        <v>15</v>
      </c>
      <c r="C19" s="414" t="s">
        <v>16</v>
      </c>
      <c r="D19" s="399" t="s">
        <v>9</v>
      </c>
      <c r="E19" s="402">
        <v>2</v>
      </c>
      <c r="F19" s="411" t="s">
        <v>28</v>
      </c>
      <c r="G19"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401">
        <v>5</v>
      </c>
      <c r="B20" s="399" t="s">
        <v>17</v>
      </c>
      <c r="C20" s="414" t="s">
        <v>18</v>
      </c>
      <c r="D20" s="399" t="s">
        <v>19</v>
      </c>
      <c r="E20" s="402">
        <v>2</v>
      </c>
      <c r="F20" s="411" t="s">
        <v>28</v>
      </c>
      <c r="G20"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0"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1" spans="1:8" ht="15.5" thickTop="1" thickBot="1">
      <c r="A21" s="401">
        <v>6</v>
      </c>
      <c r="B21" s="399" t="s">
        <v>20</v>
      </c>
      <c r="C21" s="414" t="s">
        <v>18</v>
      </c>
      <c r="D21" s="399" t="s">
        <v>9</v>
      </c>
      <c r="E21" s="402">
        <v>2</v>
      </c>
      <c r="F21" s="411" t="s">
        <v>28</v>
      </c>
      <c r="G21"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1"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2" spans="1:8" ht="15.5" thickTop="1" thickBot="1">
      <c r="A22" s="401">
        <v>7</v>
      </c>
      <c r="B22" s="399" t="s">
        <v>21</v>
      </c>
      <c r="C22" s="414" t="s">
        <v>22</v>
      </c>
      <c r="D22" s="399" t="s">
        <v>19</v>
      </c>
      <c r="E22" s="402">
        <v>2</v>
      </c>
      <c r="F22" s="411" t="s">
        <v>28</v>
      </c>
      <c r="G22"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2"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401">
        <v>8</v>
      </c>
      <c r="B23" s="399" t="s">
        <v>23</v>
      </c>
      <c r="C23" s="414" t="s">
        <v>22</v>
      </c>
      <c r="D23" s="399" t="s">
        <v>9</v>
      </c>
      <c r="E23" s="402">
        <v>2</v>
      </c>
      <c r="F23" s="411" t="s">
        <v>28</v>
      </c>
      <c r="G23"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3"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401">
        <v>9</v>
      </c>
      <c r="B24" s="399" t="s">
        <v>24</v>
      </c>
      <c r="C24" s="414"/>
      <c r="D24" s="399" t="s">
        <v>9</v>
      </c>
      <c r="E24" s="402">
        <v>2</v>
      </c>
      <c r="F24" s="411" t="s">
        <v>28</v>
      </c>
      <c r="G24"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401">
        <v>10</v>
      </c>
      <c r="B25" s="399" t="s">
        <v>25</v>
      </c>
      <c r="C25" s="414"/>
      <c r="D25" s="399" t="s">
        <v>9</v>
      </c>
      <c r="E25" s="402">
        <v>2</v>
      </c>
      <c r="F25" s="411" t="s">
        <v>28</v>
      </c>
      <c r="G25"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401">
        <v>11</v>
      </c>
      <c r="B26" s="399" t="s">
        <v>26</v>
      </c>
      <c r="C26" s="414"/>
      <c r="D26" s="399" t="s">
        <v>9</v>
      </c>
      <c r="E26" s="402">
        <v>2</v>
      </c>
      <c r="F26" s="411" t="s">
        <v>28</v>
      </c>
      <c r="G26"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6"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7" spans="1:8" ht="13.5" thickTop="1" thickBot="1">
      <c r="A27" s="401">
        <v>12</v>
      </c>
      <c r="B27" s="399" t="s">
        <v>27</v>
      </c>
      <c r="C27" s="398"/>
      <c r="D27" s="399" t="s">
        <v>19</v>
      </c>
      <c r="E27" s="402">
        <v>2</v>
      </c>
      <c r="F27" s="411" t="s">
        <v>28</v>
      </c>
      <c r="G27"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7"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8" spans="1:8" ht="15.5" thickTop="1" thickBot="1">
      <c r="A28" s="413">
        <v>0</v>
      </c>
      <c r="B28" s="85" t="s">
        <v>8</v>
      </c>
      <c r="C28" s="414"/>
      <c r="D28" s="404" t="s">
        <v>9</v>
      </c>
      <c r="E28" s="409">
        <v>3</v>
      </c>
      <c r="F28" s="410" t="s">
        <v>29</v>
      </c>
      <c r="G28" s="40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1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29" spans="1:8" ht="15.5" thickTop="1" thickBot="1">
      <c r="A29" s="401">
        <v>1</v>
      </c>
      <c r="B29" s="399" t="s">
        <v>11</v>
      </c>
      <c r="C29" s="414"/>
      <c r="D29" s="399" t="s">
        <v>9</v>
      </c>
      <c r="E29" s="402">
        <v>3</v>
      </c>
      <c r="F29" s="411" t="s">
        <v>29</v>
      </c>
      <c r="G29"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29"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401">
        <v>2</v>
      </c>
      <c r="B30" s="399" t="s">
        <v>12</v>
      </c>
      <c r="C30" s="414" t="s">
        <v>13</v>
      </c>
      <c r="D30" s="399" t="s">
        <v>9</v>
      </c>
      <c r="E30" s="402">
        <v>3</v>
      </c>
      <c r="F30" s="411" t="s">
        <v>29</v>
      </c>
      <c r="G30"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401">
        <v>3</v>
      </c>
      <c r="B31" s="399" t="s">
        <v>14</v>
      </c>
      <c r="C31" s="414"/>
      <c r="D31" s="399" t="s">
        <v>9</v>
      </c>
      <c r="E31" s="402">
        <v>3</v>
      </c>
      <c r="F31" s="411" t="s">
        <v>29</v>
      </c>
      <c r="G31"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401">
        <v>4</v>
      </c>
      <c r="B32" s="399" t="s">
        <v>15</v>
      </c>
      <c r="C32" s="414" t="s">
        <v>16</v>
      </c>
      <c r="D32" s="399" t="s">
        <v>9</v>
      </c>
      <c r="E32" s="402">
        <v>3</v>
      </c>
      <c r="F32" s="411" t="s">
        <v>29</v>
      </c>
      <c r="G32"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401">
        <v>5</v>
      </c>
      <c r="B33" s="399" t="s">
        <v>17</v>
      </c>
      <c r="C33" s="414" t="s">
        <v>18</v>
      </c>
      <c r="D33" s="399" t="s">
        <v>19</v>
      </c>
      <c r="E33" s="402">
        <v>3</v>
      </c>
      <c r="F33" s="411" t="s">
        <v>29</v>
      </c>
      <c r="G33"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3"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401">
        <v>6</v>
      </c>
      <c r="B34" s="399" t="s">
        <v>20</v>
      </c>
      <c r="C34" s="414" t="s">
        <v>18</v>
      </c>
      <c r="D34" s="399" t="s">
        <v>9</v>
      </c>
      <c r="E34" s="402">
        <v>3</v>
      </c>
      <c r="F34" s="411" t="s">
        <v>29</v>
      </c>
      <c r="G34"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4"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401">
        <v>7</v>
      </c>
      <c r="B35" s="399" t="s">
        <v>21</v>
      </c>
      <c r="C35" s="414" t="s">
        <v>22</v>
      </c>
      <c r="D35" s="399" t="s">
        <v>19</v>
      </c>
      <c r="E35" s="402">
        <v>3</v>
      </c>
      <c r="F35" s="411" t="s">
        <v>29</v>
      </c>
      <c r="G35"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5"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401">
        <v>8</v>
      </c>
      <c r="B36" s="399" t="s">
        <v>23</v>
      </c>
      <c r="C36" s="414" t="s">
        <v>22</v>
      </c>
      <c r="D36" s="399" t="s">
        <v>9</v>
      </c>
      <c r="E36" s="402">
        <v>3</v>
      </c>
      <c r="F36" s="411" t="s">
        <v>29</v>
      </c>
      <c r="G36"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6"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401">
        <v>9</v>
      </c>
      <c r="B37" s="399" t="s">
        <v>24</v>
      </c>
      <c r="C37" s="414"/>
      <c r="D37" s="399" t="s">
        <v>9</v>
      </c>
      <c r="E37" s="402">
        <v>3</v>
      </c>
      <c r="F37" s="411" t="s">
        <v>29</v>
      </c>
      <c r="G3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401">
        <v>10</v>
      </c>
      <c r="B38" s="399" t="s">
        <v>25</v>
      </c>
      <c r="C38" s="414"/>
      <c r="D38" s="399" t="s">
        <v>9</v>
      </c>
      <c r="E38" s="402">
        <v>3</v>
      </c>
      <c r="F38" s="411" t="s">
        <v>29</v>
      </c>
      <c r="G38"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401">
        <v>11</v>
      </c>
      <c r="B39" s="399" t="s">
        <v>26</v>
      </c>
      <c r="C39" s="414"/>
      <c r="D39" s="399" t="s">
        <v>9</v>
      </c>
      <c r="E39" s="402">
        <v>3</v>
      </c>
      <c r="F39" s="411" t="s">
        <v>29</v>
      </c>
      <c r="G39"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9"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40" spans="1:8" ht="13.5" thickTop="1" thickBot="1">
      <c r="A40" s="401">
        <v>12</v>
      </c>
      <c r="B40" s="399" t="s">
        <v>27</v>
      </c>
      <c r="C40" s="398"/>
      <c r="D40" s="399" t="s">
        <v>19</v>
      </c>
      <c r="E40" s="402">
        <v>3</v>
      </c>
      <c r="F40" s="411" t="s">
        <v>29</v>
      </c>
      <c r="G40"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40"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41" spans="1:8" ht="15.5" thickTop="1" thickBot="1">
      <c r="A41" s="413">
        <v>0</v>
      </c>
      <c r="B41" s="85" t="s">
        <v>8</v>
      </c>
      <c r="C41" s="414"/>
      <c r="D41" s="404" t="s">
        <v>9</v>
      </c>
      <c r="E41" s="409">
        <v>4</v>
      </c>
      <c r="F41" s="410" t="s">
        <v>30</v>
      </c>
      <c r="G41" s="40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41" s="41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42" spans="1:8" ht="15.5" thickTop="1" thickBot="1">
      <c r="A42" s="401">
        <v>1</v>
      </c>
      <c r="B42" s="399" t="s">
        <v>11</v>
      </c>
      <c r="C42" s="414"/>
      <c r="D42" s="399" t="s">
        <v>9</v>
      </c>
      <c r="E42" s="402">
        <v>4</v>
      </c>
      <c r="F42" s="411" t="s">
        <v>30</v>
      </c>
      <c r="G42"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2"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401">
        <v>2</v>
      </c>
      <c r="B43" s="399" t="s">
        <v>12</v>
      </c>
      <c r="C43" s="414" t="s">
        <v>13</v>
      </c>
      <c r="D43" s="399" t="s">
        <v>9</v>
      </c>
      <c r="E43" s="402">
        <v>4</v>
      </c>
      <c r="F43" s="411" t="s">
        <v>30</v>
      </c>
      <c r="G43"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401">
        <v>3</v>
      </c>
      <c r="B44" s="399" t="s">
        <v>14</v>
      </c>
      <c r="C44" s="414"/>
      <c r="D44" s="399" t="s">
        <v>9</v>
      </c>
      <c r="E44" s="402">
        <v>4</v>
      </c>
      <c r="F44" s="411" t="s">
        <v>30</v>
      </c>
      <c r="G44"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401">
        <v>4</v>
      </c>
      <c r="B45" s="399" t="s">
        <v>15</v>
      </c>
      <c r="C45" s="414" t="s">
        <v>16</v>
      </c>
      <c r="D45" s="399" t="s">
        <v>9</v>
      </c>
      <c r="E45" s="402">
        <v>4</v>
      </c>
      <c r="F45" s="411" t="s">
        <v>30</v>
      </c>
      <c r="G45"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401">
        <v>5</v>
      </c>
      <c r="B46" s="399" t="s">
        <v>17</v>
      </c>
      <c r="C46" s="414" t="s">
        <v>18</v>
      </c>
      <c r="D46" s="399" t="s">
        <v>19</v>
      </c>
      <c r="E46" s="402">
        <v>4</v>
      </c>
      <c r="F46" s="411" t="s">
        <v>30</v>
      </c>
      <c r="G46"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6"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7" spans="1:8" ht="15.5" thickTop="1" thickBot="1">
      <c r="A47" s="401">
        <v>6</v>
      </c>
      <c r="B47" s="399" t="s">
        <v>20</v>
      </c>
      <c r="C47" s="414" t="s">
        <v>18</v>
      </c>
      <c r="D47" s="399" t="s">
        <v>9</v>
      </c>
      <c r="E47" s="402">
        <v>4</v>
      </c>
      <c r="F47" s="411" t="s">
        <v>30</v>
      </c>
      <c r="G47"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7"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8" spans="1:8" ht="15.5" thickTop="1" thickBot="1">
      <c r="A48" s="401">
        <v>7</v>
      </c>
      <c r="B48" s="399" t="s">
        <v>21</v>
      </c>
      <c r="C48" s="414" t="s">
        <v>22</v>
      </c>
      <c r="D48" s="399" t="s">
        <v>19</v>
      </c>
      <c r="E48" s="402">
        <v>4</v>
      </c>
      <c r="F48" s="411" t="s">
        <v>30</v>
      </c>
      <c r="G48"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8"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9" spans="1:8" ht="15.5" thickTop="1" thickBot="1">
      <c r="A49" s="401">
        <v>8</v>
      </c>
      <c r="B49" s="399" t="s">
        <v>23</v>
      </c>
      <c r="C49" s="414" t="s">
        <v>22</v>
      </c>
      <c r="D49" s="399" t="s">
        <v>9</v>
      </c>
      <c r="E49" s="402">
        <v>4</v>
      </c>
      <c r="F49" s="411" t="s">
        <v>30</v>
      </c>
      <c r="G49"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9"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0" spans="1:8" ht="15.5" thickTop="1" thickBot="1">
      <c r="A50" s="401">
        <v>9</v>
      </c>
      <c r="B50" s="399" t="s">
        <v>24</v>
      </c>
      <c r="C50" s="414"/>
      <c r="D50" s="399" t="s">
        <v>9</v>
      </c>
      <c r="E50" s="402">
        <v>4</v>
      </c>
      <c r="F50" s="411" t="s">
        <v>30</v>
      </c>
      <c r="G5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401">
        <v>10</v>
      </c>
      <c r="B51" s="399" t="s">
        <v>25</v>
      </c>
      <c r="C51" s="414"/>
      <c r="D51" s="399" t="s">
        <v>9</v>
      </c>
      <c r="E51" s="402">
        <v>4</v>
      </c>
      <c r="F51" s="411" t="s">
        <v>30</v>
      </c>
      <c r="G51"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401">
        <v>11</v>
      </c>
      <c r="B52" s="399" t="s">
        <v>26</v>
      </c>
      <c r="C52" s="414"/>
      <c r="D52" s="399" t="s">
        <v>9</v>
      </c>
      <c r="E52" s="402">
        <v>4</v>
      </c>
      <c r="F52" s="411" t="s">
        <v>30</v>
      </c>
      <c r="G52"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2"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3" spans="1:8" ht="13.5" thickTop="1" thickBot="1">
      <c r="A53" s="401">
        <v>12</v>
      </c>
      <c r="B53" s="399" t="s">
        <v>27</v>
      </c>
      <c r="C53" s="398"/>
      <c r="D53" s="399" t="s">
        <v>19</v>
      </c>
      <c r="E53" s="402">
        <v>4</v>
      </c>
      <c r="F53" s="411" t="s">
        <v>30</v>
      </c>
      <c r="G53"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3"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4" spans="1:8" ht="15.5" thickTop="1" thickBot="1">
      <c r="A54" s="413">
        <v>0</v>
      </c>
      <c r="B54" s="85" t="s">
        <v>8</v>
      </c>
      <c r="C54" s="414"/>
      <c r="D54" s="404" t="s">
        <v>9</v>
      </c>
      <c r="E54" s="409">
        <v>5</v>
      </c>
      <c r="F54" s="410" t="s">
        <v>31</v>
      </c>
      <c r="G54" s="40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54" s="41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55" spans="1:8" ht="15.5" thickTop="1" thickBot="1">
      <c r="A55" s="401">
        <v>1</v>
      </c>
      <c r="B55" s="399" t="s">
        <v>11</v>
      </c>
      <c r="C55" s="414"/>
      <c r="D55" s="399" t="s">
        <v>9</v>
      </c>
      <c r="E55" s="402">
        <v>5</v>
      </c>
      <c r="F55" s="411" t="s">
        <v>31</v>
      </c>
      <c r="G55"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5"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401">
        <v>2</v>
      </c>
      <c r="B56" s="399" t="s">
        <v>12</v>
      </c>
      <c r="C56" s="414" t="s">
        <v>13</v>
      </c>
      <c r="D56" s="399" t="s">
        <v>9</v>
      </c>
      <c r="E56" s="402">
        <v>5</v>
      </c>
      <c r="F56" s="411" t="s">
        <v>31</v>
      </c>
      <c r="G56"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401">
        <v>3</v>
      </c>
      <c r="B57" s="399" t="s">
        <v>14</v>
      </c>
      <c r="C57" s="414"/>
      <c r="D57" s="399" t="s">
        <v>9</v>
      </c>
      <c r="E57" s="402">
        <v>5</v>
      </c>
      <c r="F57" s="411" t="s">
        <v>31</v>
      </c>
      <c r="G57"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401">
        <v>4</v>
      </c>
      <c r="B58" s="399" t="s">
        <v>15</v>
      </c>
      <c r="C58" s="414" t="s">
        <v>16</v>
      </c>
      <c r="D58" s="399" t="s">
        <v>9</v>
      </c>
      <c r="E58" s="402">
        <v>5</v>
      </c>
      <c r="F58" s="411" t="s">
        <v>31</v>
      </c>
      <c r="G58"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401">
        <v>5</v>
      </c>
      <c r="B59" s="399" t="s">
        <v>17</v>
      </c>
      <c r="C59" s="414" t="s">
        <v>18</v>
      </c>
      <c r="D59" s="399" t="s">
        <v>19</v>
      </c>
      <c r="E59" s="402">
        <v>5</v>
      </c>
      <c r="F59" s="411" t="s">
        <v>31</v>
      </c>
      <c r="G59"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9"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0" spans="1:8" ht="15.5" thickTop="1" thickBot="1">
      <c r="A60" s="401">
        <v>6</v>
      </c>
      <c r="B60" s="399" t="s">
        <v>20</v>
      </c>
      <c r="C60" s="414" t="s">
        <v>18</v>
      </c>
      <c r="D60" s="399" t="s">
        <v>9</v>
      </c>
      <c r="E60" s="402">
        <v>5</v>
      </c>
      <c r="F60" s="411" t="s">
        <v>31</v>
      </c>
      <c r="G60"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0"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1" spans="1:8" ht="15.5" thickTop="1" thickBot="1">
      <c r="A61" s="401">
        <v>7</v>
      </c>
      <c r="B61" s="399" t="s">
        <v>21</v>
      </c>
      <c r="C61" s="414" t="s">
        <v>22</v>
      </c>
      <c r="D61" s="399" t="s">
        <v>19</v>
      </c>
      <c r="E61" s="402">
        <v>5</v>
      </c>
      <c r="F61" s="411" t="s">
        <v>31</v>
      </c>
      <c r="G61"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1"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2" spans="1:8" ht="15.5" thickTop="1" thickBot="1">
      <c r="A62" s="401">
        <v>8</v>
      </c>
      <c r="B62" s="399" t="s">
        <v>23</v>
      </c>
      <c r="C62" s="414" t="s">
        <v>22</v>
      </c>
      <c r="D62" s="399" t="s">
        <v>9</v>
      </c>
      <c r="E62" s="402">
        <v>5</v>
      </c>
      <c r="F62" s="411" t="s">
        <v>31</v>
      </c>
      <c r="G62"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2"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3" spans="1:8" ht="15.5" thickTop="1" thickBot="1">
      <c r="A63" s="401">
        <v>9</v>
      </c>
      <c r="B63" s="399" t="s">
        <v>24</v>
      </c>
      <c r="C63" s="414"/>
      <c r="D63" s="399" t="s">
        <v>9</v>
      </c>
      <c r="E63" s="402">
        <v>5</v>
      </c>
      <c r="F63" s="411" t="s">
        <v>31</v>
      </c>
      <c r="G6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3"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4" spans="1:8" ht="15.5" thickTop="1" thickBot="1">
      <c r="A64" s="401">
        <v>10</v>
      </c>
      <c r="B64" s="399" t="s">
        <v>25</v>
      </c>
      <c r="C64" s="414"/>
      <c r="D64" s="399" t="s">
        <v>9</v>
      </c>
      <c r="E64" s="402">
        <v>5</v>
      </c>
      <c r="F64" s="411" t="s">
        <v>31</v>
      </c>
      <c r="G64"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4"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5" spans="1:8" ht="15.5" thickTop="1" thickBot="1">
      <c r="A65" s="401">
        <v>11</v>
      </c>
      <c r="B65" s="399" t="s">
        <v>26</v>
      </c>
      <c r="C65" s="414"/>
      <c r="D65" s="399" t="s">
        <v>9</v>
      </c>
      <c r="E65" s="402">
        <v>5</v>
      </c>
      <c r="F65" s="411" t="s">
        <v>31</v>
      </c>
      <c r="G65"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5"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6" spans="1:8" ht="13.5" thickTop="1" thickBot="1">
      <c r="A66" s="401">
        <v>12</v>
      </c>
      <c r="B66" s="399" t="s">
        <v>27</v>
      </c>
      <c r="C66" s="398"/>
      <c r="D66" s="399" t="s">
        <v>19</v>
      </c>
      <c r="E66" s="402">
        <v>5</v>
      </c>
      <c r="F66" s="411" t="s">
        <v>31</v>
      </c>
      <c r="G66"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6"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7" spans="1:8" ht="15.5" thickTop="1" thickBot="1">
      <c r="A67" s="413">
        <v>0</v>
      </c>
      <c r="B67" s="85" t="s">
        <v>8</v>
      </c>
      <c r="C67" s="414"/>
      <c r="D67" s="404" t="s">
        <v>9</v>
      </c>
      <c r="E67" s="409">
        <v>6</v>
      </c>
      <c r="F67" s="410" t="s">
        <v>32</v>
      </c>
      <c r="G67" s="40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67" s="41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68" spans="1:8" ht="15.5" thickTop="1" thickBot="1">
      <c r="A68" s="401">
        <v>1</v>
      </c>
      <c r="B68" s="399" t="s">
        <v>11</v>
      </c>
      <c r="C68" s="414"/>
      <c r="D68" s="399" t="s">
        <v>9</v>
      </c>
      <c r="E68" s="402">
        <v>6</v>
      </c>
      <c r="F68" s="411" t="s">
        <v>32</v>
      </c>
      <c r="G68"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68"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401">
        <v>2</v>
      </c>
      <c r="B69" s="399" t="s">
        <v>12</v>
      </c>
      <c r="C69" s="414" t="s">
        <v>13</v>
      </c>
      <c r="D69" s="399" t="s">
        <v>9</v>
      </c>
      <c r="E69" s="402">
        <v>6</v>
      </c>
      <c r="F69" s="411" t="s">
        <v>32</v>
      </c>
      <c r="G69"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401">
        <v>3</v>
      </c>
      <c r="B70" s="399" t="s">
        <v>14</v>
      </c>
      <c r="C70" s="414"/>
      <c r="D70" s="399" t="s">
        <v>9</v>
      </c>
      <c r="E70" s="402">
        <v>6</v>
      </c>
      <c r="F70" s="411" t="s">
        <v>32</v>
      </c>
      <c r="G70"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401">
        <v>4</v>
      </c>
      <c r="B71" s="399" t="s">
        <v>15</v>
      </c>
      <c r="C71" s="414" t="s">
        <v>16</v>
      </c>
      <c r="D71" s="399" t="s">
        <v>9</v>
      </c>
      <c r="E71" s="402">
        <v>6</v>
      </c>
      <c r="F71" s="411" t="s">
        <v>32</v>
      </c>
      <c r="G71"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401">
        <v>5</v>
      </c>
      <c r="B72" s="399" t="s">
        <v>17</v>
      </c>
      <c r="C72" s="414" t="s">
        <v>18</v>
      </c>
      <c r="D72" s="399" t="s">
        <v>19</v>
      </c>
      <c r="E72" s="402">
        <v>6</v>
      </c>
      <c r="F72" s="411" t="s">
        <v>32</v>
      </c>
      <c r="G72"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2"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3" spans="1:8" ht="15.5" thickTop="1" thickBot="1">
      <c r="A73" s="401">
        <v>6</v>
      </c>
      <c r="B73" s="399" t="s">
        <v>20</v>
      </c>
      <c r="C73" s="414" t="s">
        <v>18</v>
      </c>
      <c r="D73" s="399" t="s">
        <v>9</v>
      </c>
      <c r="E73" s="402">
        <v>6</v>
      </c>
      <c r="F73" s="411" t="s">
        <v>32</v>
      </c>
      <c r="G73"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3"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4" spans="1:8" ht="15.5" thickTop="1" thickBot="1">
      <c r="A74" s="401">
        <v>7</v>
      </c>
      <c r="B74" s="399" t="s">
        <v>21</v>
      </c>
      <c r="C74" s="414" t="s">
        <v>22</v>
      </c>
      <c r="D74" s="399" t="s">
        <v>19</v>
      </c>
      <c r="E74" s="402">
        <v>6</v>
      </c>
      <c r="F74" s="411" t="s">
        <v>32</v>
      </c>
      <c r="G74"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4"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5" spans="1:8" ht="15.5" thickTop="1" thickBot="1">
      <c r="A75" s="401">
        <v>8</v>
      </c>
      <c r="B75" s="399" t="s">
        <v>23</v>
      </c>
      <c r="C75" s="414" t="s">
        <v>22</v>
      </c>
      <c r="D75" s="399" t="s">
        <v>9</v>
      </c>
      <c r="E75" s="402">
        <v>6</v>
      </c>
      <c r="F75" s="411" t="s">
        <v>32</v>
      </c>
      <c r="G75"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5"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6" spans="1:8" ht="15.5" thickTop="1" thickBot="1">
      <c r="A76" s="401">
        <v>9</v>
      </c>
      <c r="B76" s="399" t="s">
        <v>24</v>
      </c>
      <c r="C76" s="414"/>
      <c r="D76" s="399" t="s">
        <v>9</v>
      </c>
      <c r="E76" s="402">
        <v>6</v>
      </c>
      <c r="F76" s="411" t="s">
        <v>32</v>
      </c>
      <c r="G7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6"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7" spans="1:8" ht="15.5" thickTop="1" thickBot="1">
      <c r="A77" s="401">
        <v>10</v>
      </c>
      <c r="B77" s="399" t="s">
        <v>25</v>
      </c>
      <c r="C77" s="414"/>
      <c r="D77" s="399" t="s">
        <v>9</v>
      </c>
      <c r="E77" s="402">
        <v>6</v>
      </c>
      <c r="F77" s="411" t="s">
        <v>32</v>
      </c>
      <c r="G77"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7"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8" spans="1:8" ht="15.5" thickTop="1" thickBot="1">
      <c r="A78" s="401">
        <v>11</v>
      </c>
      <c r="B78" s="399" t="s">
        <v>26</v>
      </c>
      <c r="C78" s="414"/>
      <c r="D78" s="399" t="s">
        <v>9</v>
      </c>
      <c r="E78" s="402">
        <v>6</v>
      </c>
      <c r="F78" s="411" t="s">
        <v>32</v>
      </c>
      <c r="G78"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8"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9" spans="1:8" ht="13.5" thickTop="1" thickBot="1">
      <c r="A79" s="401">
        <v>12</v>
      </c>
      <c r="B79" s="399" t="s">
        <v>27</v>
      </c>
      <c r="C79" s="398"/>
      <c r="D79" s="399" t="s">
        <v>19</v>
      </c>
      <c r="E79" s="402">
        <v>6</v>
      </c>
      <c r="F79" s="411" t="s">
        <v>32</v>
      </c>
      <c r="G79"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9"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80" spans="1:8" ht="15.5" thickTop="1" thickBot="1">
      <c r="A80" s="413">
        <v>0</v>
      </c>
      <c r="B80" s="85" t="s">
        <v>8</v>
      </c>
      <c r="C80" s="414"/>
      <c r="D80" s="404" t="s">
        <v>9</v>
      </c>
      <c r="E80" s="409">
        <v>7</v>
      </c>
      <c r="F80" s="410" t="s">
        <v>33</v>
      </c>
      <c r="G80" s="40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0</v>
      </c>
      <c r="H80" s="41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v>
      </c>
    </row>
    <row r="81" spans="1:8" ht="15.5" thickTop="1" thickBot="1">
      <c r="A81" s="401">
        <v>1</v>
      </c>
      <c r="B81" s="399" t="s">
        <v>11</v>
      </c>
      <c r="C81" s="414"/>
      <c r="D81" s="399" t="s">
        <v>9</v>
      </c>
      <c r="E81" s="402">
        <v>7</v>
      </c>
      <c r="F81" s="411" t="s">
        <v>33</v>
      </c>
      <c r="G81"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1" s="412">
        <f>VLOOKUP(BUReporting[[#This Row],[Program]],'Program MW '!$A$34:$S$44,3,FALSE)</f>
        <v>0</v>
      </c>
    </row>
    <row r="82" spans="1:8" ht="15.5" thickTop="1" thickBot="1">
      <c r="A82" s="401">
        <v>2</v>
      </c>
      <c r="B82" s="399" t="s">
        <v>12</v>
      </c>
      <c r="C82" s="414" t="s">
        <v>13</v>
      </c>
      <c r="D82" s="399" t="s">
        <v>9</v>
      </c>
      <c r="E82" s="402">
        <v>7</v>
      </c>
      <c r="F82" s="411" t="s">
        <v>33</v>
      </c>
      <c r="G82"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12" t="e">
        <f>VLOOKUP(BUReporting[[#This Row],[Program]],'Program MW '!$A$34:$S$44,3,FALSE)</f>
        <v>#N/A</v>
      </c>
    </row>
    <row r="83" spans="1:8" ht="15.5" thickTop="1" thickBot="1">
      <c r="A83" s="401">
        <v>3</v>
      </c>
      <c r="B83" s="399" t="s">
        <v>14</v>
      </c>
      <c r="C83" s="414"/>
      <c r="D83" s="399" t="s">
        <v>9</v>
      </c>
      <c r="E83" s="402">
        <v>7</v>
      </c>
      <c r="F83" s="411" t="s">
        <v>33</v>
      </c>
      <c r="G83"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12" t="e">
        <f>VLOOKUP(BUReporting[[#This Row],[Program]],'Program MW '!$A$34:$S$44,3,FALSE)</f>
        <v>#N/A</v>
      </c>
    </row>
    <row r="84" spans="1:8" ht="15.5" thickTop="1" thickBot="1">
      <c r="A84" s="401">
        <v>4</v>
      </c>
      <c r="B84" s="399" t="s">
        <v>15</v>
      </c>
      <c r="C84" s="414" t="s">
        <v>16</v>
      </c>
      <c r="D84" s="399" t="s">
        <v>9</v>
      </c>
      <c r="E84" s="402">
        <v>7</v>
      </c>
      <c r="F84" s="411" t="s">
        <v>33</v>
      </c>
      <c r="G84"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12" t="e">
        <f>VLOOKUP(BUReporting[[#This Row],[Program]],'Program MW '!$A$34:$S$44,3,FALSE)</f>
        <v>#N/A</v>
      </c>
    </row>
    <row r="85" spans="1:8" ht="15.5" thickTop="1" thickBot="1">
      <c r="A85" s="401">
        <v>5</v>
      </c>
      <c r="B85" s="399" t="s">
        <v>17</v>
      </c>
      <c r="C85" s="414" t="s">
        <v>18</v>
      </c>
      <c r="D85" s="399" t="s">
        <v>19</v>
      </c>
      <c r="E85" s="402">
        <v>7</v>
      </c>
      <c r="F85" s="411" t="s">
        <v>33</v>
      </c>
      <c r="G85"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5" s="412">
        <f>VLOOKUP(BUReporting[[#This Row],[Program]],'Program MW '!$A$34:$S$44,3,FALSE)</f>
        <v>0</v>
      </c>
    </row>
    <row r="86" spans="1:8" ht="15.5" thickTop="1" thickBot="1">
      <c r="A86" s="401">
        <v>6</v>
      </c>
      <c r="B86" s="399" t="s">
        <v>20</v>
      </c>
      <c r="C86" s="414" t="s">
        <v>18</v>
      </c>
      <c r="D86" s="399" t="s">
        <v>9</v>
      </c>
      <c r="E86" s="402">
        <v>7</v>
      </c>
      <c r="F86" s="411" t="s">
        <v>33</v>
      </c>
      <c r="G86"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6" s="412">
        <f>VLOOKUP(BUReporting[[#This Row],[Program]],'Program MW '!$A$34:$S$44,3,FALSE)</f>
        <v>0</v>
      </c>
    </row>
    <row r="87" spans="1:8" ht="15.5" thickTop="1" thickBot="1">
      <c r="A87" s="401">
        <v>7</v>
      </c>
      <c r="B87" s="399" t="s">
        <v>21</v>
      </c>
      <c r="C87" s="414" t="s">
        <v>22</v>
      </c>
      <c r="D87" s="399" t="s">
        <v>19</v>
      </c>
      <c r="E87" s="402">
        <v>7</v>
      </c>
      <c r="F87" s="411" t="s">
        <v>33</v>
      </c>
      <c r="G87"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7" s="412">
        <f>VLOOKUP(BUReporting[[#This Row],[Program]],'Program MW '!$A$34:$S$44,3,FALSE)</f>
        <v>0</v>
      </c>
    </row>
    <row r="88" spans="1:8" ht="15.5" thickTop="1" thickBot="1">
      <c r="A88" s="401">
        <v>8</v>
      </c>
      <c r="B88" s="399" t="s">
        <v>23</v>
      </c>
      <c r="C88" s="414" t="s">
        <v>22</v>
      </c>
      <c r="D88" s="399" t="s">
        <v>9</v>
      </c>
      <c r="E88" s="402">
        <v>7</v>
      </c>
      <c r="F88" s="411" t="s">
        <v>33</v>
      </c>
      <c r="G88"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8" s="412">
        <f>VLOOKUP(BUReporting[[#This Row],[Program]],'Program MW '!$A$34:$S$44,3,FALSE)</f>
        <v>0</v>
      </c>
    </row>
    <row r="89" spans="1:8" ht="15.5" thickTop="1" thickBot="1">
      <c r="A89" s="401">
        <v>9</v>
      </c>
      <c r="B89" s="399" t="s">
        <v>24</v>
      </c>
      <c r="C89" s="414"/>
      <c r="D89" s="399" t="s">
        <v>9</v>
      </c>
      <c r="E89" s="402">
        <v>7</v>
      </c>
      <c r="F89" s="411" t="s">
        <v>33</v>
      </c>
      <c r="G89"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9" s="412">
        <f>VLOOKUP(BUReporting[[#This Row],[Program]],'Program MW '!$A$34:$S$44,3,FALSE)</f>
        <v>0</v>
      </c>
    </row>
    <row r="90" spans="1:8" ht="15.5" thickTop="1" thickBot="1">
      <c r="A90" s="401">
        <v>10</v>
      </c>
      <c r="B90" s="399" t="s">
        <v>25</v>
      </c>
      <c r="C90" s="414"/>
      <c r="D90" s="399" t="s">
        <v>9</v>
      </c>
      <c r="E90" s="402">
        <v>7</v>
      </c>
      <c r="F90" s="411" t="s">
        <v>33</v>
      </c>
      <c r="G90"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0" s="412">
        <f>VLOOKUP(BUReporting[[#This Row],[Program]],'Program MW '!$A$34:$S$44,3,FALSE)</f>
        <v>0</v>
      </c>
    </row>
    <row r="91" spans="1:8" ht="15.5" thickTop="1" thickBot="1">
      <c r="A91" s="401">
        <v>11</v>
      </c>
      <c r="B91" s="399" t="s">
        <v>26</v>
      </c>
      <c r="C91" s="414"/>
      <c r="D91" s="399" t="s">
        <v>9</v>
      </c>
      <c r="E91" s="402">
        <v>7</v>
      </c>
      <c r="F91" s="411" t="s">
        <v>33</v>
      </c>
      <c r="G91"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1" s="412">
        <f>VLOOKUP(BUReporting[[#This Row],[Program]],'Program MW '!$A$34:$S$44,3,FALSE)</f>
        <v>0</v>
      </c>
    </row>
    <row r="92" spans="1:8" ht="13.5" thickTop="1" thickBot="1">
      <c r="A92" s="401">
        <v>12</v>
      </c>
      <c r="B92" s="399" t="s">
        <v>27</v>
      </c>
      <c r="C92" s="398"/>
      <c r="D92" s="399" t="s">
        <v>19</v>
      </c>
      <c r="E92" s="402">
        <v>7</v>
      </c>
      <c r="F92" s="411" t="s">
        <v>33</v>
      </c>
      <c r="G92"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2" s="412">
        <f>VLOOKUP(BUReporting[[#This Row],[Program]],'Program MW '!$A$34:$S$44,3,FALSE)</f>
        <v>0</v>
      </c>
    </row>
    <row r="93" spans="1:8" ht="15.5" thickTop="1" thickBot="1">
      <c r="A93" s="413">
        <v>0</v>
      </c>
      <c r="B93" s="85" t="s">
        <v>8</v>
      </c>
      <c r="C93" s="414"/>
      <c r="D93" s="404" t="s">
        <v>9</v>
      </c>
      <c r="E93" s="409">
        <v>8</v>
      </c>
      <c r="F93" s="410" t="s">
        <v>34</v>
      </c>
      <c r="G93" s="40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1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5.5" thickTop="1" thickBot="1">
      <c r="A94" s="401">
        <v>1</v>
      </c>
      <c r="B94" s="399" t="s">
        <v>11</v>
      </c>
      <c r="C94" s="414"/>
      <c r="D94" s="399" t="s">
        <v>9</v>
      </c>
      <c r="E94" s="402">
        <v>8</v>
      </c>
      <c r="F94" s="411" t="s">
        <v>34</v>
      </c>
      <c r="G94"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12">
        <f>VLOOKUP(BUReporting[[#This Row],[Program]],'Program MW '!$A$34:$S$44,6,FALSE)</f>
        <v>0</v>
      </c>
    </row>
    <row r="95" spans="1:8" ht="15.5" thickTop="1" thickBot="1">
      <c r="A95" s="401">
        <v>2</v>
      </c>
      <c r="B95" s="399" t="s">
        <v>12</v>
      </c>
      <c r="C95" s="414" t="s">
        <v>13</v>
      </c>
      <c r="D95" s="399" t="s">
        <v>9</v>
      </c>
      <c r="E95" s="402">
        <v>8</v>
      </c>
      <c r="F95" s="411" t="s">
        <v>34</v>
      </c>
      <c r="G95"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12" t="e">
        <f>VLOOKUP(BUReporting[[#This Row],[Program]],'Program MW '!$A$34:$S$44,6,FALSE)</f>
        <v>#N/A</v>
      </c>
    </row>
    <row r="96" spans="1:8" ht="15.5" thickTop="1" thickBot="1">
      <c r="A96" s="401">
        <v>3</v>
      </c>
      <c r="B96" s="399" t="s">
        <v>14</v>
      </c>
      <c r="C96" s="414"/>
      <c r="D96" s="399" t="s">
        <v>9</v>
      </c>
      <c r="E96" s="402">
        <v>8</v>
      </c>
      <c r="F96" s="411" t="s">
        <v>34</v>
      </c>
      <c r="G96"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12" t="e">
        <f>VLOOKUP(BUReporting[[#This Row],[Program]],'Program MW '!$A$34:$S$44,6,FALSE)</f>
        <v>#N/A</v>
      </c>
    </row>
    <row r="97" spans="1:8" ht="15.5" thickTop="1" thickBot="1">
      <c r="A97" s="401">
        <v>4</v>
      </c>
      <c r="B97" s="399" t="s">
        <v>15</v>
      </c>
      <c r="C97" s="414" t="s">
        <v>16</v>
      </c>
      <c r="D97" s="399" t="s">
        <v>9</v>
      </c>
      <c r="E97" s="402">
        <v>8</v>
      </c>
      <c r="F97" s="411" t="s">
        <v>34</v>
      </c>
      <c r="G97"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12" t="e">
        <f>VLOOKUP(BUReporting[[#This Row],[Program]],'Program MW '!$A$34:$S$44,6,FALSE)</f>
        <v>#N/A</v>
      </c>
    </row>
    <row r="98" spans="1:8" ht="15.5" thickTop="1" thickBot="1">
      <c r="A98" s="401">
        <v>5</v>
      </c>
      <c r="B98" s="399" t="s">
        <v>17</v>
      </c>
      <c r="C98" s="414" t="s">
        <v>18</v>
      </c>
      <c r="D98" s="399" t="s">
        <v>19</v>
      </c>
      <c r="E98" s="402">
        <v>8</v>
      </c>
      <c r="F98" s="411" t="s">
        <v>34</v>
      </c>
      <c r="G98"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12">
        <f>VLOOKUP(BUReporting[[#This Row],[Program]],'Program MW '!$A$34:$S$44,6,FALSE)</f>
        <v>0</v>
      </c>
    </row>
    <row r="99" spans="1:8" ht="15.5" thickTop="1" thickBot="1">
      <c r="A99" s="401">
        <v>6</v>
      </c>
      <c r="B99" s="399" t="s">
        <v>20</v>
      </c>
      <c r="C99" s="414" t="s">
        <v>18</v>
      </c>
      <c r="D99" s="399" t="s">
        <v>9</v>
      </c>
      <c r="E99" s="402">
        <v>8</v>
      </c>
      <c r="F99" s="411" t="s">
        <v>34</v>
      </c>
      <c r="G99"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12">
        <f>VLOOKUP(BUReporting[[#This Row],[Program]],'Program MW '!$A$34:$S$44,6,FALSE)</f>
        <v>0</v>
      </c>
    </row>
    <row r="100" spans="1:8" ht="15.5" thickTop="1" thickBot="1">
      <c r="A100" s="401">
        <v>7</v>
      </c>
      <c r="B100" s="399" t="s">
        <v>21</v>
      </c>
      <c r="C100" s="414" t="s">
        <v>22</v>
      </c>
      <c r="D100" s="399" t="s">
        <v>19</v>
      </c>
      <c r="E100" s="402">
        <v>8</v>
      </c>
      <c r="F100" s="411" t="s">
        <v>34</v>
      </c>
      <c r="G100"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12">
        <f>VLOOKUP(BUReporting[[#This Row],[Program]],'Program MW '!$A$34:$S$44,6,FALSE)</f>
        <v>0</v>
      </c>
    </row>
    <row r="101" spans="1:8" ht="15.5" thickTop="1" thickBot="1">
      <c r="A101" s="401">
        <v>8</v>
      </c>
      <c r="B101" s="399" t="s">
        <v>23</v>
      </c>
      <c r="C101" s="414" t="s">
        <v>22</v>
      </c>
      <c r="D101" s="399" t="s">
        <v>9</v>
      </c>
      <c r="E101" s="402">
        <v>8</v>
      </c>
      <c r="F101" s="411" t="s">
        <v>34</v>
      </c>
      <c r="G101"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12">
        <f>VLOOKUP(BUReporting[[#This Row],[Program]],'Program MW '!$A$34:$S$44,6,FALSE)</f>
        <v>0</v>
      </c>
    </row>
    <row r="102" spans="1:8" ht="15.5" thickTop="1" thickBot="1">
      <c r="A102" s="401">
        <v>9</v>
      </c>
      <c r="B102" s="399" t="s">
        <v>24</v>
      </c>
      <c r="C102" s="414"/>
      <c r="D102" s="399" t="s">
        <v>9</v>
      </c>
      <c r="E102" s="402">
        <v>8</v>
      </c>
      <c r="F102" s="411" t="s">
        <v>34</v>
      </c>
      <c r="G102"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12">
        <f>VLOOKUP(BUReporting[[#This Row],[Program]],'Program MW '!$A$34:$S$44,6,FALSE)</f>
        <v>0</v>
      </c>
    </row>
    <row r="103" spans="1:8" ht="15.5" thickTop="1" thickBot="1">
      <c r="A103" s="401">
        <v>10</v>
      </c>
      <c r="B103" s="399" t="s">
        <v>25</v>
      </c>
      <c r="C103" s="414"/>
      <c r="D103" s="399" t="s">
        <v>9</v>
      </c>
      <c r="E103" s="402">
        <v>8</v>
      </c>
      <c r="F103" s="411" t="s">
        <v>34</v>
      </c>
      <c r="G103"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12">
        <f>VLOOKUP(BUReporting[[#This Row],[Program]],'Program MW '!$A$34:$S$44,6,FALSE)</f>
        <v>0</v>
      </c>
    </row>
    <row r="104" spans="1:8" ht="15.5" thickTop="1" thickBot="1">
      <c r="A104" s="401">
        <v>11</v>
      </c>
      <c r="B104" s="399" t="s">
        <v>26</v>
      </c>
      <c r="C104" s="414"/>
      <c r="D104" s="399" t="s">
        <v>9</v>
      </c>
      <c r="E104" s="402">
        <v>8</v>
      </c>
      <c r="F104" s="411" t="s">
        <v>34</v>
      </c>
      <c r="G104"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12">
        <f>VLOOKUP(BUReporting[[#This Row],[Program]],'Program MW '!$A$34:$S$44,6,FALSE)</f>
        <v>0</v>
      </c>
    </row>
    <row r="105" spans="1:8" ht="13.5" thickTop="1" thickBot="1">
      <c r="A105" s="401">
        <v>12</v>
      </c>
      <c r="B105" s="399" t="s">
        <v>27</v>
      </c>
      <c r="C105" s="398"/>
      <c r="D105" s="399" t="s">
        <v>19</v>
      </c>
      <c r="E105" s="402">
        <v>8</v>
      </c>
      <c r="F105" s="411" t="s">
        <v>34</v>
      </c>
      <c r="G105"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12">
        <f>VLOOKUP(BUReporting[[#This Row],[Program]],'Program MW '!$A$34:$S$44,6,FALSE)</f>
        <v>0</v>
      </c>
    </row>
    <row r="106" spans="1:8" ht="15.5" thickTop="1" thickBot="1">
      <c r="A106" s="413">
        <v>0</v>
      </c>
      <c r="B106" s="85" t="s">
        <v>8</v>
      </c>
      <c r="C106" s="414"/>
      <c r="D106" s="404" t="s">
        <v>9</v>
      </c>
      <c r="E106" s="409">
        <v>9</v>
      </c>
      <c r="F106" s="410" t="s">
        <v>35</v>
      </c>
      <c r="G106" s="40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1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401">
        <v>1</v>
      </c>
      <c r="B107" s="399" t="s">
        <v>11</v>
      </c>
      <c r="C107" s="414"/>
      <c r="D107" s="399" t="s">
        <v>9</v>
      </c>
      <c r="E107" s="402">
        <v>9</v>
      </c>
      <c r="F107" s="411" t="s">
        <v>35</v>
      </c>
      <c r="G10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12">
        <f>VLOOKUP(BUReporting[[#This Row],[Program]],'Program MW '!$A$34:$S$44,9,FALSE)</f>
        <v>0</v>
      </c>
    </row>
    <row r="108" spans="1:8" ht="15.5" thickTop="1" thickBot="1">
      <c r="A108" s="401">
        <v>2</v>
      </c>
      <c r="B108" s="399" t="s">
        <v>12</v>
      </c>
      <c r="C108" s="414" t="s">
        <v>13</v>
      </c>
      <c r="D108" s="399" t="s">
        <v>9</v>
      </c>
      <c r="E108" s="402">
        <v>9</v>
      </c>
      <c r="F108" s="411" t="s">
        <v>35</v>
      </c>
      <c r="G108"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12" t="e">
        <f>VLOOKUP(BUReporting[[#This Row],[Program]],'Program MW '!$A$34:$S$44,9,FALSE)</f>
        <v>#N/A</v>
      </c>
    </row>
    <row r="109" spans="1:8" ht="15.5" thickTop="1" thickBot="1">
      <c r="A109" s="401">
        <v>3</v>
      </c>
      <c r="B109" s="399" t="s">
        <v>14</v>
      </c>
      <c r="C109" s="414"/>
      <c r="D109" s="399" t="s">
        <v>9</v>
      </c>
      <c r="E109" s="402">
        <v>9</v>
      </c>
      <c r="F109" s="411" t="s">
        <v>35</v>
      </c>
      <c r="G109"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12" t="e">
        <f>VLOOKUP(BUReporting[[#This Row],[Program]],'Program MW '!$A$34:$S$44,9,FALSE)</f>
        <v>#N/A</v>
      </c>
    </row>
    <row r="110" spans="1:8" ht="15.5" thickTop="1" thickBot="1">
      <c r="A110" s="401">
        <v>4</v>
      </c>
      <c r="B110" s="399" t="s">
        <v>15</v>
      </c>
      <c r="C110" s="414" t="s">
        <v>16</v>
      </c>
      <c r="D110" s="399" t="s">
        <v>9</v>
      </c>
      <c r="E110" s="402">
        <v>9</v>
      </c>
      <c r="F110" s="411" t="s">
        <v>35</v>
      </c>
      <c r="G110"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12" t="e">
        <f>VLOOKUP(BUReporting[[#This Row],[Program]],'Program MW '!$A$34:$S$44,9,FALSE)</f>
        <v>#N/A</v>
      </c>
    </row>
    <row r="111" spans="1:8" ht="15.5" thickTop="1" thickBot="1">
      <c r="A111" s="401">
        <v>5</v>
      </c>
      <c r="B111" s="399" t="s">
        <v>17</v>
      </c>
      <c r="C111" s="414" t="s">
        <v>18</v>
      </c>
      <c r="D111" s="399" t="s">
        <v>19</v>
      </c>
      <c r="E111" s="402">
        <v>9</v>
      </c>
      <c r="F111" s="411" t="s">
        <v>35</v>
      </c>
      <c r="G111"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12">
        <f>VLOOKUP(BUReporting[[#This Row],[Program]],'Program MW '!$A$34:$S$44,9,FALSE)</f>
        <v>0</v>
      </c>
    </row>
    <row r="112" spans="1:8" ht="15.5" thickTop="1" thickBot="1">
      <c r="A112" s="401">
        <v>6</v>
      </c>
      <c r="B112" s="399" t="s">
        <v>20</v>
      </c>
      <c r="C112" s="414" t="s">
        <v>18</v>
      </c>
      <c r="D112" s="399" t="s">
        <v>9</v>
      </c>
      <c r="E112" s="402">
        <v>9</v>
      </c>
      <c r="F112" s="411" t="s">
        <v>35</v>
      </c>
      <c r="G112"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12">
        <f>VLOOKUP(BUReporting[[#This Row],[Program]],'Program MW '!$A$34:$S$44,9,FALSE)</f>
        <v>0</v>
      </c>
    </row>
    <row r="113" spans="1:8" ht="15.5" thickTop="1" thickBot="1">
      <c r="A113" s="401">
        <v>7</v>
      </c>
      <c r="B113" s="399" t="s">
        <v>21</v>
      </c>
      <c r="C113" s="414" t="s">
        <v>22</v>
      </c>
      <c r="D113" s="399" t="s">
        <v>19</v>
      </c>
      <c r="E113" s="402">
        <v>9</v>
      </c>
      <c r="F113" s="411" t="s">
        <v>35</v>
      </c>
      <c r="G113"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12">
        <f>VLOOKUP(BUReporting[[#This Row],[Program]],'Program MW '!$A$34:$S$44,9,FALSE)</f>
        <v>0</v>
      </c>
    </row>
    <row r="114" spans="1:8" ht="15.5" thickTop="1" thickBot="1">
      <c r="A114" s="401">
        <v>8</v>
      </c>
      <c r="B114" s="399" t="s">
        <v>23</v>
      </c>
      <c r="C114" s="414" t="s">
        <v>22</v>
      </c>
      <c r="D114" s="399" t="s">
        <v>9</v>
      </c>
      <c r="E114" s="402">
        <v>9</v>
      </c>
      <c r="F114" s="411" t="s">
        <v>35</v>
      </c>
      <c r="G114"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12">
        <f>VLOOKUP(BUReporting[[#This Row],[Program]],'Program MW '!$A$34:$S$44,9,FALSE)</f>
        <v>0</v>
      </c>
    </row>
    <row r="115" spans="1:8" ht="15.5" thickTop="1" thickBot="1">
      <c r="A115" s="401">
        <v>9</v>
      </c>
      <c r="B115" s="399" t="s">
        <v>24</v>
      </c>
      <c r="C115" s="414"/>
      <c r="D115" s="399" t="s">
        <v>9</v>
      </c>
      <c r="E115" s="402">
        <v>9</v>
      </c>
      <c r="F115" s="411" t="s">
        <v>35</v>
      </c>
      <c r="G115"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12">
        <f>VLOOKUP(BUReporting[[#This Row],[Program]],'Program MW '!$A$34:$S$44,9,FALSE)</f>
        <v>0</v>
      </c>
    </row>
    <row r="116" spans="1:8" ht="15.5" thickTop="1" thickBot="1">
      <c r="A116" s="401">
        <v>10</v>
      </c>
      <c r="B116" s="399" t="s">
        <v>25</v>
      </c>
      <c r="C116" s="414"/>
      <c r="D116" s="399" t="s">
        <v>9</v>
      </c>
      <c r="E116" s="402">
        <v>9</v>
      </c>
      <c r="F116" s="411" t="s">
        <v>35</v>
      </c>
      <c r="G116"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12">
        <f>VLOOKUP(BUReporting[[#This Row],[Program]],'Program MW '!$A$34:$S$44,9,FALSE)</f>
        <v>0</v>
      </c>
    </row>
    <row r="117" spans="1:8" ht="15.5" thickTop="1" thickBot="1">
      <c r="A117" s="401">
        <v>11</v>
      </c>
      <c r="B117" s="399" t="s">
        <v>26</v>
      </c>
      <c r="C117" s="414"/>
      <c r="D117" s="399" t="s">
        <v>9</v>
      </c>
      <c r="E117" s="402">
        <v>9</v>
      </c>
      <c r="F117" s="411" t="s">
        <v>35</v>
      </c>
      <c r="G11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12">
        <f>VLOOKUP(BUReporting[[#This Row],[Program]],'Program MW '!$A$34:$S$44,9,FALSE)</f>
        <v>0</v>
      </c>
    </row>
    <row r="118" spans="1:8" ht="13.5" thickTop="1" thickBot="1">
      <c r="A118" s="401">
        <v>12</v>
      </c>
      <c r="B118" s="399" t="s">
        <v>27</v>
      </c>
      <c r="C118" s="398"/>
      <c r="D118" s="399" t="s">
        <v>19</v>
      </c>
      <c r="E118" s="402">
        <v>9</v>
      </c>
      <c r="F118" s="411" t="s">
        <v>35</v>
      </c>
      <c r="G118"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12">
        <f>VLOOKUP(BUReporting[[#This Row],[Program]],'Program MW '!$A$34:$S$44,9,FALSE)</f>
        <v>0</v>
      </c>
    </row>
    <row r="119" spans="1:8" ht="15.5" thickTop="1" thickBot="1">
      <c r="A119" s="413">
        <v>0</v>
      </c>
      <c r="B119" s="85" t="s">
        <v>8</v>
      </c>
      <c r="C119" s="414"/>
      <c r="D119" s="404" t="s">
        <v>9</v>
      </c>
      <c r="E119" s="409">
        <v>10</v>
      </c>
      <c r="F119" s="410" t="s">
        <v>36</v>
      </c>
      <c r="G119" s="40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1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401">
        <v>1</v>
      </c>
      <c r="B120" s="399" t="s">
        <v>11</v>
      </c>
      <c r="C120" s="414"/>
      <c r="D120" s="399" t="s">
        <v>9</v>
      </c>
      <c r="E120" s="402">
        <v>10</v>
      </c>
      <c r="F120" s="411" t="s">
        <v>36</v>
      </c>
      <c r="G12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12">
        <f>VLOOKUP(BUReporting[[#This Row],[Program]],'Program MW '!$A$34:$S$44,12,FALSE)</f>
        <v>0</v>
      </c>
    </row>
    <row r="121" spans="1:8" ht="15.5" thickTop="1" thickBot="1">
      <c r="A121" s="401">
        <v>2</v>
      </c>
      <c r="B121" s="399" t="s">
        <v>12</v>
      </c>
      <c r="C121" s="414" t="s">
        <v>13</v>
      </c>
      <c r="D121" s="399" t="s">
        <v>9</v>
      </c>
      <c r="E121" s="402">
        <v>10</v>
      </c>
      <c r="F121" s="411" t="s">
        <v>36</v>
      </c>
      <c r="G121"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12" t="e">
        <f>VLOOKUP(BUReporting[[#This Row],[Program]],'Program MW '!$A$34:$S$44,12,FALSE)</f>
        <v>#N/A</v>
      </c>
    </row>
    <row r="122" spans="1:8" ht="15.5" thickTop="1" thickBot="1">
      <c r="A122" s="401">
        <v>3</v>
      </c>
      <c r="B122" s="399" t="s">
        <v>14</v>
      </c>
      <c r="C122" s="414"/>
      <c r="D122" s="399" t="s">
        <v>9</v>
      </c>
      <c r="E122" s="402">
        <v>10</v>
      </c>
      <c r="F122" s="411" t="s">
        <v>36</v>
      </c>
      <c r="G122"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12" t="e">
        <f>VLOOKUP(BUReporting[[#This Row],[Program]],'Program MW '!$A$34:$S$44,12,FALSE)</f>
        <v>#N/A</v>
      </c>
    </row>
    <row r="123" spans="1:8" ht="15.5" thickTop="1" thickBot="1">
      <c r="A123" s="401">
        <v>4</v>
      </c>
      <c r="B123" s="399" t="s">
        <v>15</v>
      </c>
      <c r="C123" s="414" t="s">
        <v>16</v>
      </c>
      <c r="D123" s="399" t="s">
        <v>9</v>
      </c>
      <c r="E123" s="402">
        <v>10</v>
      </c>
      <c r="F123" s="411" t="s">
        <v>36</v>
      </c>
      <c r="G123"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12" t="e">
        <f>VLOOKUP(BUReporting[[#This Row],[Program]],'Program MW '!$A$34:$S$44,12,FALSE)</f>
        <v>#N/A</v>
      </c>
    </row>
    <row r="124" spans="1:8" ht="15.5" thickTop="1" thickBot="1">
      <c r="A124" s="401">
        <v>5</v>
      </c>
      <c r="B124" s="399" t="s">
        <v>17</v>
      </c>
      <c r="C124" s="414" t="s">
        <v>18</v>
      </c>
      <c r="D124" s="399" t="s">
        <v>19</v>
      </c>
      <c r="E124" s="402">
        <v>10</v>
      </c>
      <c r="F124" s="411" t="s">
        <v>36</v>
      </c>
      <c r="G124"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12">
        <f>VLOOKUP(BUReporting[[#This Row],[Program]],'Program MW '!$A$34:$S$44,12,FALSE)</f>
        <v>0</v>
      </c>
    </row>
    <row r="125" spans="1:8" ht="15.5" thickTop="1" thickBot="1">
      <c r="A125" s="401">
        <v>6</v>
      </c>
      <c r="B125" s="399" t="s">
        <v>20</v>
      </c>
      <c r="C125" s="414" t="s">
        <v>18</v>
      </c>
      <c r="D125" s="399" t="s">
        <v>9</v>
      </c>
      <c r="E125" s="402">
        <v>10</v>
      </c>
      <c r="F125" s="411" t="s">
        <v>36</v>
      </c>
      <c r="G125"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12">
        <f>VLOOKUP(BUReporting[[#This Row],[Program]],'Program MW '!$A$34:$S$44,12,FALSE)</f>
        <v>0</v>
      </c>
    </row>
    <row r="126" spans="1:8" ht="15.5" thickTop="1" thickBot="1">
      <c r="A126" s="401">
        <v>7</v>
      </c>
      <c r="B126" s="399" t="s">
        <v>21</v>
      </c>
      <c r="C126" s="414" t="s">
        <v>22</v>
      </c>
      <c r="D126" s="399" t="s">
        <v>19</v>
      </c>
      <c r="E126" s="402">
        <v>10</v>
      </c>
      <c r="F126" s="411" t="s">
        <v>36</v>
      </c>
      <c r="G126"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12">
        <f>VLOOKUP(BUReporting[[#This Row],[Program]],'Program MW '!$A$34:$S$44,12,FALSE)</f>
        <v>0</v>
      </c>
    </row>
    <row r="127" spans="1:8" ht="15.5" thickTop="1" thickBot="1">
      <c r="A127" s="401">
        <v>8</v>
      </c>
      <c r="B127" s="399" t="s">
        <v>23</v>
      </c>
      <c r="C127" s="414" t="s">
        <v>22</v>
      </c>
      <c r="D127" s="399" t="s">
        <v>9</v>
      </c>
      <c r="E127" s="402">
        <v>10</v>
      </c>
      <c r="F127" s="411" t="s">
        <v>36</v>
      </c>
      <c r="G127"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12">
        <f>VLOOKUP(BUReporting[[#This Row],[Program]],'Program MW '!$A$34:$S$44,12,FALSE)</f>
        <v>0</v>
      </c>
    </row>
    <row r="128" spans="1:8" ht="15.5" thickTop="1" thickBot="1">
      <c r="A128" s="401">
        <v>9</v>
      </c>
      <c r="B128" s="399" t="s">
        <v>24</v>
      </c>
      <c r="C128" s="414"/>
      <c r="D128" s="399" t="s">
        <v>9</v>
      </c>
      <c r="E128" s="402">
        <v>10</v>
      </c>
      <c r="F128" s="411" t="s">
        <v>36</v>
      </c>
      <c r="G128"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12">
        <f>VLOOKUP(BUReporting[[#This Row],[Program]],'Program MW '!$A$34:$S$44,12,FALSE)</f>
        <v>0</v>
      </c>
    </row>
    <row r="129" spans="1:8" ht="15.5" thickTop="1" thickBot="1">
      <c r="A129" s="401">
        <v>10</v>
      </c>
      <c r="B129" s="399" t="s">
        <v>25</v>
      </c>
      <c r="C129" s="414"/>
      <c r="D129" s="399" t="s">
        <v>9</v>
      </c>
      <c r="E129" s="402">
        <v>10</v>
      </c>
      <c r="F129" s="411" t="s">
        <v>36</v>
      </c>
      <c r="G129"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12">
        <f>VLOOKUP(BUReporting[[#This Row],[Program]],'Program MW '!$A$34:$S$44,12,FALSE)</f>
        <v>0</v>
      </c>
    </row>
    <row r="130" spans="1:8" ht="15.5" thickTop="1" thickBot="1">
      <c r="A130" s="401">
        <v>11</v>
      </c>
      <c r="B130" s="399" t="s">
        <v>26</v>
      </c>
      <c r="C130" s="414"/>
      <c r="D130" s="399" t="s">
        <v>9</v>
      </c>
      <c r="E130" s="402">
        <v>10</v>
      </c>
      <c r="F130" s="411" t="s">
        <v>36</v>
      </c>
      <c r="G13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12">
        <f>VLOOKUP(BUReporting[[#This Row],[Program]],'Program MW '!$A$34:$S$44,12,FALSE)</f>
        <v>0</v>
      </c>
    </row>
    <row r="131" spans="1:8" ht="13.5" thickTop="1" thickBot="1">
      <c r="A131" s="401">
        <v>12</v>
      </c>
      <c r="B131" s="399" t="s">
        <v>27</v>
      </c>
      <c r="C131" s="398"/>
      <c r="D131" s="399" t="s">
        <v>19</v>
      </c>
      <c r="E131" s="402">
        <v>10</v>
      </c>
      <c r="F131" s="411" t="s">
        <v>36</v>
      </c>
      <c r="G131"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12">
        <f>VLOOKUP(BUReporting[[#This Row],[Program]],'Program MW '!$A$34:$S$44,12,FALSE)</f>
        <v>0</v>
      </c>
    </row>
    <row r="132" spans="1:8" ht="15.5" thickTop="1" thickBot="1">
      <c r="A132" s="413">
        <v>0</v>
      </c>
      <c r="B132" s="85" t="s">
        <v>8</v>
      </c>
      <c r="C132" s="414"/>
      <c r="D132" s="404" t="s">
        <v>9</v>
      </c>
      <c r="E132" s="409">
        <v>11</v>
      </c>
      <c r="F132" s="410" t="s">
        <v>37</v>
      </c>
      <c r="G132" s="40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1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401">
        <v>1</v>
      </c>
      <c r="B133" s="399" t="s">
        <v>11</v>
      </c>
      <c r="C133" s="414"/>
      <c r="D133" s="399" t="s">
        <v>9</v>
      </c>
      <c r="E133" s="402">
        <v>11</v>
      </c>
      <c r="F133" s="411" t="s">
        <v>37</v>
      </c>
      <c r="G13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12">
        <f>VLOOKUP(BUReporting[[#This Row],[Program]],'Program MW '!$A$34:$S$44,15,FALSE)</f>
        <v>0</v>
      </c>
    </row>
    <row r="134" spans="1:8" ht="15.5" thickTop="1" thickBot="1">
      <c r="A134" s="401">
        <v>2</v>
      </c>
      <c r="B134" s="399" t="s">
        <v>12</v>
      </c>
      <c r="C134" s="414" t="s">
        <v>13</v>
      </c>
      <c r="D134" s="399" t="s">
        <v>9</v>
      </c>
      <c r="E134" s="402">
        <v>11</v>
      </c>
      <c r="F134" s="411" t="s">
        <v>37</v>
      </c>
      <c r="G134"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12" t="e">
        <f>VLOOKUP(BUReporting[[#This Row],[Program]],'Program MW '!$A$34:$S$44,15,FALSE)</f>
        <v>#N/A</v>
      </c>
    </row>
    <row r="135" spans="1:8" ht="15.5" thickTop="1" thickBot="1">
      <c r="A135" s="401">
        <v>3</v>
      </c>
      <c r="B135" s="399" t="s">
        <v>14</v>
      </c>
      <c r="C135" s="414"/>
      <c r="D135" s="399" t="s">
        <v>9</v>
      </c>
      <c r="E135" s="402">
        <v>11</v>
      </c>
      <c r="F135" s="411" t="s">
        <v>37</v>
      </c>
      <c r="G135"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12" t="e">
        <f>VLOOKUP(BUReporting[[#This Row],[Program]],'Program MW '!$A$34:$S$44,15,FALSE)</f>
        <v>#N/A</v>
      </c>
    </row>
    <row r="136" spans="1:8" ht="15.5" thickTop="1" thickBot="1">
      <c r="A136" s="401">
        <v>4</v>
      </c>
      <c r="B136" s="399" t="s">
        <v>15</v>
      </c>
      <c r="C136" s="414" t="s">
        <v>16</v>
      </c>
      <c r="D136" s="399" t="s">
        <v>9</v>
      </c>
      <c r="E136" s="402">
        <v>11</v>
      </c>
      <c r="F136" s="411" t="s">
        <v>37</v>
      </c>
      <c r="G136"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12" t="e">
        <f>VLOOKUP(BUReporting[[#This Row],[Program]],'Program MW '!$A$34:$S$44,15,FALSE)</f>
        <v>#N/A</v>
      </c>
    </row>
    <row r="137" spans="1:8" ht="15.5" thickTop="1" thickBot="1">
      <c r="A137" s="401">
        <v>5</v>
      </c>
      <c r="B137" s="399" t="s">
        <v>17</v>
      </c>
      <c r="C137" s="414" t="s">
        <v>18</v>
      </c>
      <c r="D137" s="399" t="s">
        <v>19</v>
      </c>
      <c r="E137" s="402">
        <v>11</v>
      </c>
      <c r="F137" s="411" t="s">
        <v>37</v>
      </c>
      <c r="G137"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12">
        <f>VLOOKUP(BUReporting[[#This Row],[Program]],'Program MW '!$A$34:$S$44,15,FALSE)</f>
        <v>0</v>
      </c>
    </row>
    <row r="138" spans="1:8" ht="15.5" thickTop="1" thickBot="1">
      <c r="A138" s="401">
        <v>6</v>
      </c>
      <c r="B138" s="399" t="s">
        <v>20</v>
      </c>
      <c r="C138" s="414" t="s">
        <v>18</v>
      </c>
      <c r="D138" s="399" t="s">
        <v>9</v>
      </c>
      <c r="E138" s="402">
        <v>11</v>
      </c>
      <c r="F138" s="411" t="s">
        <v>37</v>
      </c>
      <c r="G138"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12">
        <f>VLOOKUP(BUReporting[[#This Row],[Program]],'Program MW '!$A$34:$S$44,15,FALSE)</f>
        <v>0</v>
      </c>
    </row>
    <row r="139" spans="1:8" ht="15.5" thickTop="1" thickBot="1">
      <c r="A139" s="401">
        <v>7</v>
      </c>
      <c r="B139" s="399" t="s">
        <v>21</v>
      </c>
      <c r="C139" s="414" t="s">
        <v>22</v>
      </c>
      <c r="D139" s="399" t="s">
        <v>19</v>
      </c>
      <c r="E139" s="402">
        <v>11</v>
      </c>
      <c r="F139" s="411" t="s">
        <v>37</v>
      </c>
      <c r="G139"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12">
        <f>VLOOKUP(BUReporting[[#This Row],[Program]],'Program MW '!$A$34:$S$44,15,FALSE)</f>
        <v>0</v>
      </c>
    </row>
    <row r="140" spans="1:8" ht="15.5" thickTop="1" thickBot="1">
      <c r="A140" s="401">
        <v>8</v>
      </c>
      <c r="B140" s="399" t="s">
        <v>23</v>
      </c>
      <c r="C140" s="414" t="s">
        <v>22</v>
      </c>
      <c r="D140" s="399" t="s">
        <v>9</v>
      </c>
      <c r="E140" s="402">
        <v>11</v>
      </c>
      <c r="F140" s="411" t="s">
        <v>37</v>
      </c>
      <c r="G140"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12">
        <f>VLOOKUP(BUReporting[[#This Row],[Program]],'Program MW '!$A$34:$S$44,15,FALSE)</f>
        <v>0</v>
      </c>
    </row>
    <row r="141" spans="1:8" ht="15.5" thickTop="1" thickBot="1">
      <c r="A141" s="401">
        <v>9</v>
      </c>
      <c r="B141" s="399" t="s">
        <v>24</v>
      </c>
      <c r="C141" s="414"/>
      <c r="D141" s="399" t="s">
        <v>9</v>
      </c>
      <c r="E141" s="402">
        <v>11</v>
      </c>
      <c r="F141" s="411" t="s">
        <v>37</v>
      </c>
      <c r="G141"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12">
        <f>VLOOKUP(BUReporting[[#This Row],[Program]],'Program MW '!$A$34:$S$44,15,FALSE)</f>
        <v>0</v>
      </c>
    </row>
    <row r="142" spans="1:8" ht="15.5" thickTop="1" thickBot="1">
      <c r="A142" s="401">
        <v>10</v>
      </c>
      <c r="B142" s="399" t="s">
        <v>25</v>
      </c>
      <c r="C142" s="414"/>
      <c r="D142" s="399" t="s">
        <v>9</v>
      </c>
      <c r="E142" s="402">
        <v>11</v>
      </c>
      <c r="F142" s="411" t="s">
        <v>37</v>
      </c>
      <c r="G142"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12">
        <f>VLOOKUP(BUReporting[[#This Row],[Program]],'Program MW '!$A$34:$S$44,15,FALSE)</f>
        <v>0</v>
      </c>
    </row>
    <row r="143" spans="1:8" ht="15.5" thickTop="1" thickBot="1">
      <c r="A143" s="401">
        <v>11</v>
      </c>
      <c r="B143" s="399" t="s">
        <v>26</v>
      </c>
      <c r="C143" s="414"/>
      <c r="D143" s="399" t="s">
        <v>9</v>
      </c>
      <c r="E143" s="402">
        <v>11</v>
      </c>
      <c r="F143" s="411" t="s">
        <v>37</v>
      </c>
      <c r="G14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12">
        <f>VLOOKUP(BUReporting[[#This Row],[Program]],'Program MW '!$A$34:$S$44,15,FALSE)</f>
        <v>0</v>
      </c>
    </row>
    <row r="144" spans="1:8" ht="13.5" thickTop="1" thickBot="1">
      <c r="A144" s="401">
        <v>12</v>
      </c>
      <c r="B144" s="399" t="s">
        <v>27</v>
      </c>
      <c r="C144" s="398"/>
      <c r="D144" s="399" t="s">
        <v>19</v>
      </c>
      <c r="E144" s="402">
        <v>11</v>
      </c>
      <c r="F144" s="411" t="s">
        <v>37</v>
      </c>
      <c r="G144"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12">
        <f>VLOOKUP(BUReporting[[#This Row],[Program]],'Program MW '!$A$34:$S$44,15,FALSE)</f>
        <v>0</v>
      </c>
    </row>
    <row r="145" spans="1:8" ht="15.5" thickTop="1" thickBot="1">
      <c r="A145" s="413">
        <v>0</v>
      </c>
      <c r="B145" s="85" t="s">
        <v>8</v>
      </c>
      <c r="C145" s="414"/>
      <c r="D145" s="404" t="s">
        <v>9</v>
      </c>
      <c r="E145" s="409">
        <v>12</v>
      </c>
      <c r="F145" s="410" t="s">
        <v>38</v>
      </c>
      <c r="G145" s="40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1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401">
        <v>1</v>
      </c>
      <c r="B146" s="399" t="s">
        <v>11</v>
      </c>
      <c r="C146" s="414"/>
      <c r="D146" s="399" t="s">
        <v>9</v>
      </c>
      <c r="E146" s="402">
        <v>12</v>
      </c>
      <c r="F146" s="411" t="s">
        <v>38</v>
      </c>
      <c r="G14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12">
        <f>VLOOKUP(BUReporting[[#This Row],[Program]],'Program MW '!$A$34:$S$44,18,FALSE)</f>
        <v>0</v>
      </c>
    </row>
    <row r="147" spans="1:8" ht="15.5" thickTop="1" thickBot="1">
      <c r="A147" s="401">
        <v>2</v>
      </c>
      <c r="B147" s="399" t="s">
        <v>12</v>
      </c>
      <c r="C147" s="414" t="s">
        <v>13</v>
      </c>
      <c r="D147" s="399" t="s">
        <v>9</v>
      </c>
      <c r="E147" s="402">
        <v>12</v>
      </c>
      <c r="F147" s="411" t="s">
        <v>38</v>
      </c>
      <c r="G147"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12" t="e">
        <f>VLOOKUP(BUReporting[[#This Row],[Program]],'Program MW '!$A$34:$S$44,18,FALSE)</f>
        <v>#N/A</v>
      </c>
    </row>
    <row r="148" spans="1:8" ht="15.5" thickTop="1" thickBot="1">
      <c r="A148" s="401">
        <v>3</v>
      </c>
      <c r="B148" s="399" t="s">
        <v>14</v>
      </c>
      <c r="C148" s="414"/>
      <c r="D148" s="399" t="s">
        <v>9</v>
      </c>
      <c r="E148" s="402">
        <v>12</v>
      </c>
      <c r="F148" s="411" t="s">
        <v>38</v>
      </c>
      <c r="G148"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12" t="e">
        <f>VLOOKUP(BUReporting[[#This Row],[Program]],'Program MW '!$A$34:$S$44,18,FALSE)</f>
        <v>#N/A</v>
      </c>
    </row>
    <row r="149" spans="1:8" ht="15.5" thickTop="1" thickBot="1">
      <c r="A149" s="401">
        <v>4</v>
      </c>
      <c r="B149" s="399" t="s">
        <v>15</v>
      </c>
      <c r="C149" s="414" t="s">
        <v>16</v>
      </c>
      <c r="D149" s="399" t="s">
        <v>9</v>
      </c>
      <c r="E149" s="402">
        <v>12</v>
      </c>
      <c r="F149" s="411" t="s">
        <v>38</v>
      </c>
      <c r="G149"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12" t="e">
        <f>VLOOKUP(BUReporting[[#This Row],[Program]],'Program MW '!$A$34:$S$44,18,FALSE)</f>
        <v>#N/A</v>
      </c>
    </row>
    <row r="150" spans="1:8" ht="15.5" thickTop="1" thickBot="1">
      <c r="A150" s="401">
        <v>5</v>
      </c>
      <c r="B150" s="399" t="s">
        <v>17</v>
      </c>
      <c r="C150" s="414" t="s">
        <v>18</v>
      </c>
      <c r="D150" s="399" t="s">
        <v>19</v>
      </c>
      <c r="E150" s="402">
        <v>12</v>
      </c>
      <c r="F150" s="411" t="s">
        <v>38</v>
      </c>
      <c r="G150"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12">
        <f>VLOOKUP(BUReporting[[#This Row],[Program]],'Program MW '!$A$34:$S$44,18,FALSE)</f>
        <v>0</v>
      </c>
    </row>
    <row r="151" spans="1:8" ht="15.5" thickTop="1" thickBot="1">
      <c r="A151" s="401">
        <v>6</v>
      </c>
      <c r="B151" s="399" t="s">
        <v>20</v>
      </c>
      <c r="C151" s="414" t="s">
        <v>18</v>
      </c>
      <c r="D151" s="399" t="s">
        <v>9</v>
      </c>
      <c r="E151" s="402">
        <v>12</v>
      </c>
      <c r="F151" s="411" t="s">
        <v>38</v>
      </c>
      <c r="G151"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12">
        <f>VLOOKUP(BUReporting[[#This Row],[Program]],'Program MW '!$A$34:$S$44,18,FALSE)</f>
        <v>0</v>
      </c>
    </row>
    <row r="152" spans="1:8" ht="15.5" thickTop="1" thickBot="1">
      <c r="A152" s="401">
        <v>7</v>
      </c>
      <c r="B152" s="399" t="s">
        <v>21</v>
      </c>
      <c r="C152" s="414" t="s">
        <v>22</v>
      </c>
      <c r="D152" s="399" t="s">
        <v>19</v>
      </c>
      <c r="E152" s="402">
        <v>12</v>
      </c>
      <c r="F152" s="411" t="s">
        <v>38</v>
      </c>
      <c r="G152"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12">
        <f>VLOOKUP(BUReporting[[#This Row],[Program]],'Program MW '!$A$34:$S$44,18,FALSE)</f>
        <v>0</v>
      </c>
    </row>
    <row r="153" spans="1:8" ht="15.5" thickTop="1" thickBot="1">
      <c r="A153" s="401">
        <v>8</v>
      </c>
      <c r="B153" s="399" t="s">
        <v>23</v>
      </c>
      <c r="C153" s="414" t="s">
        <v>22</v>
      </c>
      <c r="D153" s="399" t="s">
        <v>9</v>
      </c>
      <c r="E153" s="402">
        <v>12</v>
      </c>
      <c r="F153" s="411" t="s">
        <v>38</v>
      </c>
      <c r="G153"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12">
        <f>VLOOKUP(BUReporting[[#This Row],[Program]],'Program MW '!$A$34:$S$44,18,FALSE)</f>
        <v>0</v>
      </c>
    </row>
    <row r="154" spans="1:8" ht="15.5" thickTop="1" thickBot="1">
      <c r="A154" s="401">
        <v>9</v>
      </c>
      <c r="B154" s="399" t="s">
        <v>24</v>
      </c>
      <c r="C154" s="414"/>
      <c r="D154" s="399" t="s">
        <v>9</v>
      </c>
      <c r="E154" s="402">
        <v>12</v>
      </c>
      <c r="F154" s="411" t="s">
        <v>38</v>
      </c>
      <c r="G154"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12">
        <f>VLOOKUP(BUReporting[[#This Row],[Program]],'Program MW '!$A$34:$S$44,18,FALSE)</f>
        <v>0</v>
      </c>
    </row>
    <row r="155" spans="1:8" ht="15.5" thickTop="1" thickBot="1">
      <c r="A155" s="401">
        <v>10</v>
      </c>
      <c r="B155" s="399" t="s">
        <v>25</v>
      </c>
      <c r="C155" s="414"/>
      <c r="D155" s="399" t="s">
        <v>9</v>
      </c>
      <c r="E155" s="402">
        <v>12</v>
      </c>
      <c r="F155" s="411" t="s">
        <v>38</v>
      </c>
      <c r="G155"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12">
        <f>VLOOKUP(BUReporting[[#This Row],[Program]],'Program MW '!$A$34:$S$44,18,FALSE)</f>
        <v>0</v>
      </c>
    </row>
    <row r="156" spans="1:8" ht="15.5" thickTop="1" thickBot="1">
      <c r="A156" s="401">
        <v>11</v>
      </c>
      <c r="B156" s="399" t="s">
        <v>26</v>
      </c>
      <c r="C156" s="414"/>
      <c r="D156" s="399" t="s">
        <v>9</v>
      </c>
      <c r="E156" s="402">
        <v>12</v>
      </c>
      <c r="F156" s="411" t="s">
        <v>38</v>
      </c>
      <c r="G15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12">
        <f>VLOOKUP(BUReporting[[#This Row],[Program]],'Program MW '!$A$34:$S$44,18,FALSE)</f>
        <v>0</v>
      </c>
    </row>
    <row r="157" spans="1:8" ht="13" thickTop="1">
      <c r="A157" s="401">
        <v>12</v>
      </c>
      <c r="B157" s="399" t="s">
        <v>27</v>
      </c>
      <c r="C157" s="398"/>
      <c r="D157" s="399" t="s">
        <v>19</v>
      </c>
      <c r="E157" s="402">
        <v>12</v>
      </c>
      <c r="F157" s="411" t="s">
        <v>38</v>
      </c>
      <c r="G157"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12">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25"/>
  <sheetViews>
    <sheetView zoomScaleNormal="100" zoomScaleSheetLayoutView="90" workbookViewId="0">
      <selection activeCell="A28" sqref="A28"/>
    </sheetView>
  </sheetViews>
  <sheetFormatPr defaultColWidth="9.26953125" defaultRowHeight="14.25" customHeight="1"/>
  <cols>
    <col min="1" max="1" width="56.7265625" style="360" customWidth="1"/>
    <col min="2" max="2" width="30" style="245" customWidth="1"/>
    <col min="3" max="3" width="15.7265625" style="362" customWidth="1"/>
    <col min="4" max="4" width="27" style="360" bestFit="1" customWidth="1"/>
    <col min="5" max="5" width="15.7265625" style="360" customWidth="1"/>
    <col min="6" max="6" width="22" style="360" customWidth="1"/>
    <col min="7" max="7" width="37" style="360" customWidth="1"/>
    <col min="8" max="16384" width="9.26953125" style="361"/>
  </cols>
  <sheetData>
    <row r="2" spans="1:14" ht="13">
      <c r="A2" s="542"/>
      <c r="C2" s="246" t="s">
        <v>39</v>
      </c>
      <c r="D2" s="542"/>
      <c r="E2" s="542"/>
      <c r="F2" s="542"/>
      <c r="G2" s="542"/>
      <c r="H2" s="543"/>
      <c r="I2" s="543"/>
      <c r="J2" s="543"/>
      <c r="K2" s="543"/>
      <c r="L2" s="543"/>
      <c r="M2" s="543"/>
      <c r="N2" s="543"/>
    </row>
    <row r="3" spans="1:14" ht="13">
      <c r="A3" s="542"/>
      <c r="C3" s="246" t="s">
        <v>185</v>
      </c>
      <c r="D3" s="542"/>
      <c r="E3" s="542"/>
      <c r="F3" s="542"/>
      <c r="G3" s="542"/>
      <c r="H3" s="543"/>
      <c r="I3" s="543"/>
      <c r="J3" s="543"/>
      <c r="K3" s="543"/>
      <c r="L3" s="543"/>
      <c r="M3" s="543"/>
      <c r="N3" s="543"/>
    </row>
    <row r="4" spans="1:14" ht="13">
      <c r="A4" s="542"/>
      <c r="C4" s="246" t="str">
        <f>'Program MW '!H3</f>
        <v>January 2021</v>
      </c>
      <c r="D4" s="542"/>
      <c r="E4" s="542"/>
      <c r="F4" s="542"/>
      <c r="G4" s="542"/>
      <c r="H4" s="543"/>
      <c r="I4" s="543"/>
      <c r="J4" s="543"/>
      <c r="K4" s="543"/>
      <c r="L4" s="543"/>
      <c r="M4" s="543"/>
      <c r="N4" s="543"/>
    </row>
    <row r="5" spans="1:14" ht="13">
      <c r="A5" s="542"/>
      <c r="C5" s="246"/>
      <c r="D5" s="542"/>
      <c r="E5" s="542"/>
      <c r="F5" s="542"/>
      <c r="G5" s="542"/>
      <c r="H5" s="543"/>
      <c r="I5" s="543"/>
      <c r="J5" s="543"/>
      <c r="K5" s="543"/>
      <c r="L5" s="543"/>
      <c r="M5" s="543"/>
      <c r="N5" s="543"/>
    </row>
    <row r="7" spans="1:14" ht="15.5">
      <c r="A7" s="687" t="s">
        <v>186</v>
      </c>
      <c r="B7" s="688"/>
      <c r="C7" s="688"/>
      <c r="D7" s="688"/>
      <c r="E7" s="688"/>
      <c r="F7" s="688"/>
      <c r="G7" s="689"/>
      <c r="H7" s="543"/>
      <c r="I7" s="543"/>
      <c r="J7" s="543"/>
      <c r="K7" s="543"/>
      <c r="L7" s="543"/>
      <c r="M7" s="543"/>
      <c r="N7" s="543"/>
    </row>
    <row r="8" spans="1:14" ht="28">
      <c r="A8" s="544" t="s">
        <v>179</v>
      </c>
      <c r="B8" s="544" t="s">
        <v>187</v>
      </c>
      <c r="C8" s="545" t="s">
        <v>182</v>
      </c>
      <c r="D8" s="544" t="s">
        <v>188</v>
      </c>
      <c r="E8" s="546" t="s">
        <v>189</v>
      </c>
      <c r="F8" s="546" t="s">
        <v>190</v>
      </c>
      <c r="G8" s="546" t="s">
        <v>191</v>
      </c>
      <c r="H8" s="543"/>
      <c r="I8" s="543"/>
      <c r="J8" s="543"/>
      <c r="K8" s="543"/>
      <c r="L8" s="543"/>
      <c r="M8" s="543"/>
      <c r="N8" s="543"/>
    </row>
    <row r="9" spans="1:14" ht="14.25" customHeight="1">
      <c r="A9" s="574" t="s">
        <v>56</v>
      </c>
      <c r="B9" s="575" t="s">
        <v>56</v>
      </c>
      <c r="C9" s="569" t="s">
        <v>56</v>
      </c>
      <c r="D9" s="570" t="s">
        <v>56</v>
      </c>
      <c r="E9" s="571" t="s">
        <v>56</v>
      </c>
      <c r="F9" s="572" t="s">
        <v>56</v>
      </c>
      <c r="G9" s="573" t="s">
        <v>56</v>
      </c>
      <c r="H9" s="543"/>
      <c r="I9" s="543"/>
      <c r="J9" s="543"/>
      <c r="K9" s="543"/>
      <c r="L9" s="543"/>
      <c r="M9" s="543"/>
      <c r="N9" s="543"/>
    </row>
    <row r="10" spans="1:14" ht="14.25" customHeight="1">
      <c r="A10" s="547"/>
      <c r="B10" s="548"/>
      <c r="C10" s="550"/>
      <c r="D10" s="551"/>
      <c r="E10" s="552"/>
      <c r="F10" s="553"/>
      <c r="G10" s="549"/>
      <c r="H10" s="543"/>
      <c r="I10" s="543"/>
      <c r="J10" s="543"/>
      <c r="K10" s="543"/>
      <c r="L10" s="543"/>
      <c r="M10" s="543"/>
      <c r="N10" s="543"/>
    </row>
    <row r="11" spans="1:14" ht="14.25" customHeight="1">
      <c r="A11" s="547"/>
      <c r="B11" s="549"/>
      <c r="C11" s="475"/>
      <c r="D11" s="551"/>
      <c r="E11" s="552"/>
      <c r="F11" s="474"/>
      <c r="G11" s="549"/>
    </row>
    <row r="12" spans="1:14" ht="14.25" customHeight="1">
      <c r="A12" s="547"/>
      <c r="B12" s="549"/>
      <c r="C12" s="475"/>
      <c r="D12" s="551"/>
      <c r="E12" s="552"/>
      <c r="F12" s="474"/>
      <c r="G12" s="549"/>
    </row>
    <row r="13" spans="1:14" ht="14.25" customHeight="1">
      <c r="A13" s="547"/>
      <c r="B13" s="549"/>
      <c r="C13" s="475"/>
      <c r="D13" s="551"/>
      <c r="E13" s="552"/>
      <c r="F13" s="474"/>
      <c r="G13" s="549"/>
    </row>
    <row r="14" spans="1:14" ht="14.25" customHeight="1">
      <c r="A14" s="547"/>
      <c r="B14" s="549"/>
      <c r="C14" s="475"/>
      <c r="D14" s="551"/>
      <c r="E14" s="552"/>
      <c r="F14" s="474"/>
      <c r="G14" s="549"/>
    </row>
    <row r="15" spans="1:14" ht="14.25" customHeight="1">
      <c r="A15" s="547"/>
      <c r="B15" s="549"/>
      <c r="C15" s="475"/>
      <c r="D15" s="551"/>
      <c r="E15" s="552"/>
      <c r="F15" s="474"/>
      <c r="G15" s="549"/>
    </row>
    <row r="16" spans="1:14" ht="14.25" customHeight="1">
      <c r="A16"/>
      <c r="B16" s="554"/>
      <c r="C16" s="555"/>
      <c r="D16" s="542"/>
      <c r="E16" s="556"/>
      <c r="F16" s="557"/>
      <c r="G16" s="554"/>
    </row>
    <row r="17" spans="1:7" ht="14.25" customHeight="1">
      <c r="A17"/>
      <c r="B17" s="554"/>
      <c r="C17" s="555"/>
      <c r="D17" s="542"/>
      <c r="E17" s="556"/>
      <c r="F17" s="557"/>
      <c r="G17" s="554"/>
    </row>
    <row r="18" spans="1:7" ht="14.25" customHeight="1">
      <c r="A18"/>
      <c r="B18" s="554"/>
      <c r="C18" s="555"/>
      <c r="D18" s="542"/>
      <c r="E18" s="556"/>
      <c r="F18" s="557"/>
      <c r="G18" s="554"/>
    </row>
    <row r="19" spans="1:7" ht="14.25" customHeight="1">
      <c r="A19" s="558"/>
      <c r="C19" s="559"/>
      <c r="D19" s="542"/>
      <c r="E19" s="542"/>
      <c r="F19" s="542"/>
      <c r="G19" s="542"/>
    </row>
    <row r="20" spans="1:7" ht="14.25" customHeight="1">
      <c r="A20" s="560"/>
      <c r="C20" s="559"/>
      <c r="D20" s="542"/>
      <c r="E20" s="542"/>
      <c r="F20" s="542"/>
      <c r="G20" s="542"/>
    </row>
    <row r="21" spans="1:7" ht="14.25" customHeight="1">
      <c r="A21" s="560"/>
      <c r="C21" s="559"/>
      <c r="D21" s="542"/>
      <c r="E21" s="542"/>
      <c r="F21" s="542"/>
      <c r="G21" s="542"/>
    </row>
    <row r="22" spans="1:7" ht="14.25" customHeight="1">
      <c r="A22" s="561" t="s">
        <v>63</v>
      </c>
      <c r="C22" s="559"/>
      <c r="D22" s="542"/>
      <c r="E22" s="542"/>
      <c r="F22" s="542"/>
      <c r="G22" s="542"/>
    </row>
    <row r="23" spans="1:7" ht="14.25" customHeight="1">
      <c r="A23" s="562"/>
      <c r="C23" s="559"/>
      <c r="D23" s="542"/>
      <c r="E23" s="542"/>
      <c r="F23" s="542"/>
      <c r="G23" s="542"/>
    </row>
    <row r="24" spans="1:7" ht="14.25" customHeight="1">
      <c r="A24" s="451" t="s">
        <v>65</v>
      </c>
      <c r="C24" s="559"/>
      <c r="D24" s="542"/>
      <c r="E24" s="542"/>
      <c r="F24" s="542"/>
      <c r="G24" s="542"/>
    </row>
    <row r="25" spans="1:7" ht="14.25" customHeight="1">
      <c r="A25" s="343"/>
      <c r="C25" s="559"/>
      <c r="D25" s="542"/>
      <c r="E25" s="542"/>
      <c r="F25" s="542"/>
      <c r="G25" s="542"/>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9" activePane="bottomRight" state="frozen"/>
      <selection activeCell="A52" sqref="A52:O52"/>
      <selection pane="topRight" activeCell="A52" sqref="A52:O52"/>
      <selection pane="bottomLeft" activeCell="A52" sqref="A52:O52"/>
      <selection pane="bottomRight" activeCell="Q16" sqref="Q16"/>
    </sheetView>
  </sheetViews>
  <sheetFormatPr defaultColWidth="17" defaultRowHeight="11.5"/>
  <cols>
    <col min="1" max="1" width="46.26953125" style="211" customWidth="1"/>
    <col min="2" max="9" width="11.6328125" style="211" customWidth="1"/>
    <col min="10" max="10" width="11.6328125" style="212" customWidth="1"/>
    <col min="11" max="14" width="11.6328125" style="211" customWidth="1"/>
    <col min="15" max="16" width="0" style="211" hidden="1" customWidth="1"/>
    <col min="17" max="16384" width="17" style="211"/>
  </cols>
  <sheetData>
    <row r="1" spans="1:16">
      <c r="A1" s="211" t="s">
        <v>56</v>
      </c>
      <c r="E1" s="209" t="s">
        <v>39</v>
      </c>
    </row>
    <row r="2" spans="1:16">
      <c r="E2" s="209" t="s">
        <v>192</v>
      </c>
    </row>
    <row r="3" spans="1:16">
      <c r="D3" s="213"/>
      <c r="E3" s="214" t="str">
        <f>'Program MW '!H3</f>
        <v>January 2021</v>
      </c>
      <c r="F3" s="213"/>
    </row>
    <row r="4" spans="1:16" ht="12" thickBot="1"/>
    <row r="5" spans="1:16">
      <c r="A5" s="215"/>
      <c r="B5" s="216"/>
      <c r="C5" s="216"/>
      <c r="D5" s="216"/>
      <c r="E5" s="216"/>
      <c r="F5" s="216"/>
      <c r="G5" s="216"/>
      <c r="H5" s="216"/>
      <c r="I5" s="216"/>
      <c r="J5" s="217"/>
      <c r="K5" s="216"/>
      <c r="L5" s="216"/>
      <c r="M5" s="216"/>
      <c r="N5" s="479"/>
    </row>
    <row r="6" spans="1:16" ht="23">
      <c r="A6" s="218" t="s">
        <v>193</v>
      </c>
      <c r="B6" s="465" t="s">
        <v>41</v>
      </c>
      <c r="C6" s="465" t="s">
        <v>42</v>
      </c>
      <c r="D6" s="465" t="s">
        <v>43</v>
      </c>
      <c r="E6" s="465" t="s">
        <v>44</v>
      </c>
      <c r="F6" s="465" t="s">
        <v>31</v>
      </c>
      <c r="G6" s="465" t="s">
        <v>45</v>
      </c>
      <c r="H6" s="465" t="s">
        <v>59</v>
      </c>
      <c r="I6" s="465" t="s">
        <v>67</v>
      </c>
      <c r="J6" s="466" t="s">
        <v>68</v>
      </c>
      <c r="K6" s="465" t="s">
        <v>61</v>
      </c>
      <c r="L6" s="465" t="s">
        <v>69</v>
      </c>
      <c r="M6" s="635" t="s">
        <v>62</v>
      </c>
      <c r="N6" s="637" t="s">
        <v>194</v>
      </c>
    </row>
    <row r="7" spans="1:16">
      <c r="A7" s="219"/>
      <c r="B7" s="220"/>
      <c r="C7" s="220"/>
      <c r="D7" s="220"/>
      <c r="E7" s="220"/>
      <c r="F7" s="220"/>
      <c r="G7" s="220"/>
      <c r="H7" s="461"/>
      <c r="I7" s="220"/>
      <c r="J7" s="221"/>
      <c r="K7" s="220"/>
      <c r="L7" s="220"/>
      <c r="M7" s="447"/>
      <c r="N7" s="480"/>
    </row>
    <row r="8" spans="1:16">
      <c r="A8" s="222" t="s">
        <v>195</v>
      </c>
      <c r="B8" s="220"/>
      <c r="C8" s="220"/>
      <c r="D8" s="220"/>
      <c r="E8" s="220"/>
      <c r="F8" s="220"/>
      <c r="G8" s="220"/>
      <c r="H8" s="461"/>
      <c r="I8" s="220"/>
      <c r="J8" s="221"/>
      <c r="K8" s="220"/>
      <c r="L8" s="220"/>
      <c r="M8" s="447"/>
      <c r="N8" s="481"/>
    </row>
    <row r="9" spans="1:16">
      <c r="A9" s="312" t="s">
        <v>196</v>
      </c>
      <c r="B9" s="372">
        <v>5.4340000000000002</v>
      </c>
      <c r="C9" s="372">
        <v>0</v>
      </c>
      <c r="D9" s="372">
        <v>0</v>
      </c>
      <c r="E9" s="372">
        <v>0</v>
      </c>
      <c r="F9" s="372">
        <v>0</v>
      </c>
      <c r="G9" s="372">
        <v>0</v>
      </c>
      <c r="H9" s="372">
        <v>0</v>
      </c>
      <c r="I9" s="372">
        <v>0</v>
      </c>
      <c r="J9" s="372">
        <v>0</v>
      </c>
      <c r="K9" s="372">
        <v>0</v>
      </c>
      <c r="L9" s="372">
        <v>0</v>
      </c>
      <c r="M9" s="636">
        <v>0</v>
      </c>
      <c r="N9" s="482">
        <f t="shared" ref="N9:N33" si="0">SUM(B9:M9)</f>
        <v>5.4340000000000002</v>
      </c>
      <c r="O9" s="373">
        <v>0</v>
      </c>
      <c r="P9" s="373">
        <v>0</v>
      </c>
    </row>
    <row r="10" spans="1:16" ht="13.5">
      <c r="A10" s="312" t="s">
        <v>197</v>
      </c>
      <c r="B10" s="310">
        <v>44.155000000000001</v>
      </c>
      <c r="C10" s="310">
        <v>0</v>
      </c>
      <c r="D10" s="310">
        <v>0</v>
      </c>
      <c r="E10" s="310">
        <v>0</v>
      </c>
      <c r="F10" s="310">
        <v>0</v>
      </c>
      <c r="G10" s="310">
        <v>0</v>
      </c>
      <c r="H10" s="310">
        <v>0</v>
      </c>
      <c r="I10" s="310">
        <v>0</v>
      </c>
      <c r="J10" s="310">
        <v>0</v>
      </c>
      <c r="K10" s="310">
        <v>0</v>
      </c>
      <c r="L10" s="310">
        <v>0</v>
      </c>
      <c r="M10" s="310">
        <v>0</v>
      </c>
      <c r="N10" s="482">
        <f t="shared" si="0"/>
        <v>44.155000000000001</v>
      </c>
    </row>
    <row r="11" spans="1:16" ht="14.25" customHeight="1">
      <c r="A11" s="312" t="s">
        <v>198</v>
      </c>
      <c r="B11" s="310">
        <v>5.3719999999999999</v>
      </c>
      <c r="C11" s="370">
        <v>0</v>
      </c>
      <c r="D11" s="370">
        <v>0</v>
      </c>
      <c r="E11" s="370">
        <v>0</v>
      </c>
      <c r="F11" s="370">
        <v>0</v>
      </c>
      <c r="G11" s="370">
        <v>0</v>
      </c>
      <c r="H11" s="370">
        <v>0</v>
      </c>
      <c r="I11" s="370">
        <v>0</v>
      </c>
      <c r="J11" s="370">
        <v>0</v>
      </c>
      <c r="K11" s="370">
        <v>0</v>
      </c>
      <c r="L11" s="370">
        <v>0</v>
      </c>
      <c r="M11" s="370">
        <v>0</v>
      </c>
      <c r="N11" s="482">
        <f t="shared" si="0"/>
        <v>5.3719999999999999</v>
      </c>
    </row>
    <row r="12" spans="1:16">
      <c r="A12" s="312" t="s">
        <v>199</v>
      </c>
      <c r="B12" s="310">
        <v>0</v>
      </c>
      <c r="C12" s="370">
        <v>0</v>
      </c>
      <c r="D12" s="370">
        <v>0</v>
      </c>
      <c r="E12" s="370">
        <v>0</v>
      </c>
      <c r="F12" s="370">
        <v>0</v>
      </c>
      <c r="G12" s="370">
        <v>0</v>
      </c>
      <c r="H12" s="370">
        <v>0</v>
      </c>
      <c r="I12" s="370">
        <v>0</v>
      </c>
      <c r="J12" s="370">
        <v>0</v>
      </c>
      <c r="K12" s="370">
        <v>0</v>
      </c>
      <c r="L12" s="370">
        <v>0</v>
      </c>
      <c r="M12" s="370">
        <v>0</v>
      </c>
      <c r="N12" s="482">
        <f t="shared" si="0"/>
        <v>0</v>
      </c>
    </row>
    <row r="13" spans="1:16">
      <c r="A13" s="312" t="s">
        <v>200</v>
      </c>
      <c r="B13" s="310">
        <v>6.5279999999999996</v>
      </c>
      <c r="C13" s="370">
        <v>0</v>
      </c>
      <c r="D13" s="370">
        <v>0</v>
      </c>
      <c r="E13" s="370">
        <v>0</v>
      </c>
      <c r="F13" s="370">
        <v>0</v>
      </c>
      <c r="G13" s="370">
        <v>0</v>
      </c>
      <c r="H13" s="370">
        <v>0</v>
      </c>
      <c r="I13" s="370">
        <v>0</v>
      </c>
      <c r="J13" s="370">
        <v>0</v>
      </c>
      <c r="K13" s="370">
        <v>0</v>
      </c>
      <c r="L13" s="370">
        <v>0</v>
      </c>
      <c r="M13" s="370">
        <v>0</v>
      </c>
      <c r="N13" s="482">
        <f t="shared" si="0"/>
        <v>6.5279999999999996</v>
      </c>
    </row>
    <row r="14" spans="1:16">
      <c r="A14" s="312" t="s">
        <v>201</v>
      </c>
      <c r="B14" s="310">
        <v>10.265000000000001</v>
      </c>
      <c r="C14" s="370">
        <v>0</v>
      </c>
      <c r="D14" s="370">
        <v>0</v>
      </c>
      <c r="E14" s="370">
        <v>0</v>
      </c>
      <c r="F14" s="370">
        <v>0</v>
      </c>
      <c r="G14" s="370">
        <v>0</v>
      </c>
      <c r="H14" s="370">
        <v>0</v>
      </c>
      <c r="I14" s="370">
        <v>0</v>
      </c>
      <c r="J14" s="370">
        <v>0</v>
      </c>
      <c r="K14" s="370">
        <v>0</v>
      </c>
      <c r="L14" s="370">
        <v>0</v>
      </c>
      <c r="M14" s="370">
        <v>0</v>
      </c>
      <c r="N14" s="482">
        <f t="shared" si="0"/>
        <v>10.265000000000001</v>
      </c>
    </row>
    <row r="15" spans="1:16">
      <c r="A15" s="312" t="s">
        <v>202</v>
      </c>
      <c r="B15" s="310">
        <v>22.998999999999999</v>
      </c>
      <c r="C15" s="370">
        <v>0</v>
      </c>
      <c r="D15" s="370">
        <v>0</v>
      </c>
      <c r="E15" s="370">
        <v>0</v>
      </c>
      <c r="F15" s="370">
        <v>0</v>
      </c>
      <c r="G15" s="370">
        <v>0</v>
      </c>
      <c r="H15" s="370">
        <v>0</v>
      </c>
      <c r="I15" s="370">
        <v>0</v>
      </c>
      <c r="J15" s="370">
        <v>0</v>
      </c>
      <c r="K15" s="370">
        <v>0</v>
      </c>
      <c r="L15" s="370">
        <v>0</v>
      </c>
      <c r="M15" s="370">
        <v>0</v>
      </c>
      <c r="N15" s="482">
        <f t="shared" si="0"/>
        <v>22.998999999999999</v>
      </c>
    </row>
    <row r="16" spans="1:16">
      <c r="A16" s="312" t="s">
        <v>163</v>
      </c>
      <c r="B16" s="310">
        <v>11.461</v>
      </c>
      <c r="C16" s="370">
        <v>0</v>
      </c>
      <c r="D16" s="370">
        <v>0</v>
      </c>
      <c r="E16" s="370">
        <v>0</v>
      </c>
      <c r="F16" s="370">
        <v>0</v>
      </c>
      <c r="G16" s="370">
        <v>0</v>
      </c>
      <c r="H16" s="370">
        <v>0</v>
      </c>
      <c r="I16" s="370">
        <v>0</v>
      </c>
      <c r="J16" s="370">
        <v>0</v>
      </c>
      <c r="K16" s="370">
        <v>0</v>
      </c>
      <c r="L16" s="370">
        <v>0</v>
      </c>
      <c r="M16" s="370">
        <v>0</v>
      </c>
      <c r="N16" s="482">
        <f t="shared" si="0"/>
        <v>11.461</v>
      </c>
    </row>
    <row r="17" spans="1:15">
      <c r="A17" s="312" t="s">
        <v>164</v>
      </c>
      <c r="B17" s="310">
        <v>7.4180000000000001</v>
      </c>
      <c r="C17" s="370">
        <v>0</v>
      </c>
      <c r="D17" s="370">
        <v>0</v>
      </c>
      <c r="E17" s="370">
        <v>0</v>
      </c>
      <c r="F17" s="370">
        <v>0</v>
      </c>
      <c r="G17" s="370">
        <v>0</v>
      </c>
      <c r="H17" s="370">
        <v>0</v>
      </c>
      <c r="I17" s="370">
        <v>0</v>
      </c>
      <c r="J17" s="370">
        <v>0</v>
      </c>
      <c r="K17" s="370">
        <v>0</v>
      </c>
      <c r="L17" s="370">
        <v>0</v>
      </c>
      <c r="M17" s="370">
        <v>0</v>
      </c>
      <c r="N17" s="482">
        <f t="shared" si="0"/>
        <v>7.4180000000000001</v>
      </c>
    </row>
    <row r="18" spans="1:15">
      <c r="A18" s="312" t="s">
        <v>203</v>
      </c>
      <c r="B18" s="310">
        <v>0</v>
      </c>
      <c r="C18" s="370">
        <v>0</v>
      </c>
      <c r="D18" s="370">
        <v>0</v>
      </c>
      <c r="E18" s="370">
        <v>0</v>
      </c>
      <c r="F18" s="370">
        <v>0</v>
      </c>
      <c r="G18" s="370">
        <v>0</v>
      </c>
      <c r="H18" s="370">
        <v>0</v>
      </c>
      <c r="I18" s="370">
        <v>0</v>
      </c>
      <c r="J18" s="370">
        <v>0</v>
      </c>
      <c r="K18" s="370">
        <v>0</v>
      </c>
      <c r="L18" s="370">
        <v>0</v>
      </c>
      <c r="M18" s="370">
        <v>0</v>
      </c>
      <c r="N18" s="482">
        <f t="shared" si="0"/>
        <v>0</v>
      </c>
    </row>
    <row r="19" spans="1:15" ht="13.5">
      <c r="A19" s="312" t="s">
        <v>204</v>
      </c>
      <c r="B19" s="310">
        <v>1.681</v>
      </c>
      <c r="C19" s="370">
        <v>0</v>
      </c>
      <c r="D19" s="370">
        <v>0</v>
      </c>
      <c r="E19" s="370">
        <v>0</v>
      </c>
      <c r="F19" s="370">
        <v>0</v>
      </c>
      <c r="G19" s="370">
        <v>0</v>
      </c>
      <c r="H19" s="370">
        <v>0</v>
      </c>
      <c r="I19" s="370">
        <v>0</v>
      </c>
      <c r="J19" s="370">
        <v>0</v>
      </c>
      <c r="K19" s="370">
        <v>0</v>
      </c>
      <c r="L19" s="370">
        <v>0</v>
      </c>
      <c r="M19" s="370">
        <v>0</v>
      </c>
      <c r="N19" s="482">
        <f t="shared" si="0"/>
        <v>1.681</v>
      </c>
    </row>
    <row r="20" spans="1:15" s="213" customFormat="1">
      <c r="A20" s="417" t="s">
        <v>133</v>
      </c>
      <c r="B20" s="310">
        <v>0</v>
      </c>
      <c r="C20" s="370">
        <v>0</v>
      </c>
      <c r="D20" s="370">
        <v>0</v>
      </c>
      <c r="E20" s="370">
        <v>0</v>
      </c>
      <c r="F20" s="370">
        <v>0</v>
      </c>
      <c r="G20" s="370">
        <v>0</v>
      </c>
      <c r="H20" s="370">
        <v>0</v>
      </c>
      <c r="I20" s="370">
        <v>0</v>
      </c>
      <c r="J20" s="370">
        <v>0</v>
      </c>
      <c r="K20" s="370">
        <v>0</v>
      </c>
      <c r="L20" s="370">
        <v>0</v>
      </c>
      <c r="M20" s="370">
        <v>0</v>
      </c>
      <c r="N20" s="483">
        <f t="shared" si="0"/>
        <v>0</v>
      </c>
    </row>
    <row r="21" spans="1:15">
      <c r="A21" s="417" t="s">
        <v>205</v>
      </c>
      <c r="B21" s="310">
        <v>111.34399999999999</v>
      </c>
      <c r="C21" s="370">
        <v>0</v>
      </c>
      <c r="D21" s="370">
        <v>0</v>
      </c>
      <c r="E21" s="370">
        <v>0</v>
      </c>
      <c r="F21" s="370">
        <v>0</v>
      </c>
      <c r="G21" s="370">
        <v>0</v>
      </c>
      <c r="H21" s="370">
        <v>0</v>
      </c>
      <c r="I21" s="370">
        <v>0</v>
      </c>
      <c r="J21" s="370">
        <v>0</v>
      </c>
      <c r="K21" s="370">
        <v>0</v>
      </c>
      <c r="L21" s="370">
        <v>0</v>
      </c>
      <c r="M21" s="370">
        <v>0</v>
      </c>
      <c r="N21" s="482">
        <f t="shared" si="0"/>
        <v>111.34399999999999</v>
      </c>
    </row>
    <row r="22" spans="1:15" ht="14.5">
      <c r="A22" s="312" t="s">
        <v>280</v>
      </c>
      <c r="B22" s="310">
        <v>2.75</v>
      </c>
      <c r="C22" s="370">
        <v>0</v>
      </c>
      <c r="D22" s="370">
        <v>0</v>
      </c>
      <c r="E22" s="370">
        <v>0</v>
      </c>
      <c r="F22" s="370">
        <v>0</v>
      </c>
      <c r="G22" s="370">
        <v>0</v>
      </c>
      <c r="H22" s="370">
        <v>0</v>
      </c>
      <c r="I22" s="370">
        <v>0</v>
      </c>
      <c r="J22" s="370">
        <v>0</v>
      </c>
      <c r="K22" s="370">
        <v>0</v>
      </c>
      <c r="L22" s="370">
        <v>0</v>
      </c>
      <c r="M22" s="370">
        <v>0</v>
      </c>
      <c r="N22" s="482">
        <f t="shared" si="0"/>
        <v>2.75</v>
      </c>
    </row>
    <row r="23" spans="1:15">
      <c r="A23" s="312" t="s">
        <v>206</v>
      </c>
      <c r="B23" s="310">
        <v>37.207999999999998</v>
      </c>
      <c r="C23" s="370">
        <v>0</v>
      </c>
      <c r="D23" s="370">
        <v>0</v>
      </c>
      <c r="E23" s="370">
        <v>0</v>
      </c>
      <c r="F23" s="370">
        <v>0</v>
      </c>
      <c r="G23" s="370">
        <v>0</v>
      </c>
      <c r="H23" s="370">
        <v>0</v>
      </c>
      <c r="I23" s="370">
        <v>0</v>
      </c>
      <c r="J23" s="370">
        <v>0</v>
      </c>
      <c r="K23" s="370">
        <v>0</v>
      </c>
      <c r="L23" s="370">
        <v>0</v>
      </c>
      <c r="M23" s="370">
        <v>0</v>
      </c>
      <c r="N23" s="482">
        <f t="shared" si="0"/>
        <v>37.207999999999998</v>
      </c>
    </row>
    <row r="24" spans="1:15">
      <c r="A24" s="312" t="s">
        <v>281</v>
      </c>
      <c r="B24" s="310">
        <v>120.524</v>
      </c>
      <c r="C24" s="370">
        <v>0</v>
      </c>
      <c r="D24" s="370">
        <v>0</v>
      </c>
      <c r="E24" s="370">
        <v>0</v>
      </c>
      <c r="F24" s="370">
        <v>0</v>
      </c>
      <c r="G24" s="370">
        <v>0</v>
      </c>
      <c r="H24" s="370">
        <v>0</v>
      </c>
      <c r="I24" s="370">
        <v>0</v>
      </c>
      <c r="J24" s="370">
        <v>0</v>
      </c>
      <c r="K24" s="370">
        <v>0</v>
      </c>
      <c r="L24" s="370">
        <v>0</v>
      </c>
      <c r="M24" s="370">
        <v>0</v>
      </c>
      <c r="N24" s="482">
        <f t="shared" si="0"/>
        <v>120.524</v>
      </c>
    </row>
    <row r="25" spans="1:15" ht="13.5">
      <c r="A25" s="312" t="s">
        <v>282</v>
      </c>
      <c r="B25" s="310">
        <v>23.262</v>
      </c>
      <c r="C25" s="370">
        <v>0</v>
      </c>
      <c r="D25" s="370">
        <v>0</v>
      </c>
      <c r="E25" s="370">
        <v>0</v>
      </c>
      <c r="F25" s="370">
        <v>0</v>
      </c>
      <c r="G25" s="370">
        <v>0</v>
      </c>
      <c r="H25" s="370">
        <v>0</v>
      </c>
      <c r="I25" s="370">
        <v>0</v>
      </c>
      <c r="J25" s="370">
        <v>0</v>
      </c>
      <c r="K25" s="370">
        <v>0</v>
      </c>
      <c r="L25" s="370">
        <v>0</v>
      </c>
      <c r="M25" s="370">
        <v>0</v>
      </c>
      <c r="N25" s="482">
        <f t="shared" si="0"/>
        <v>23.262</v>
      </c>
    </row>
    <row r="26" spans="1:15" s="224" customFormat="1">
      <c r="A26" s="312" t="s">
        <v>175</v>
      </c>
      <c r="B26" s="310">
        <v>3.379</v>
      </c>
      <c r="C26" s="370">
        <v>0</v>
      </c>
      <c r="D26" s="370">
        <v>0</v>
      </c>
      <c r="E26" s="370">
        <v>0</v>
      </c>
      <c r="F26" s="370">
        <v>0</v>
      </c>
      <c r="G26" s="370">
        <v>0</v>
      </c>
      <c r="H26" s="370">
        <v>0</v>
      </c>
      <c r="I26" s="370">
        <v>0</v>
      </c>
      <c r="J26" s="370">
        <v>0</v>
      </c>
      <c r="K26" s="370">
        <v>0</v>
      </c>
      <c r="L26" s="370">
        <v>0</v>
      </c>
      <c r="M26" s="370">
        <v>0</v>
      </c>
      <c r="N26" s="482">
        <f t="shared" si="0"/>
        <v>3.379</v>
      </c>
      <c r="O26" s="211"/>
    </row>
    <row r="27" spans="1:15" s="224" customFormat="1">
      <c r="A27" s="418" t="s">
        <v>207</v>
      </c>
      <c r="B27" s="310">
        <v>55.295999999999999</v>
      </c>
      <c r="C27" s="370">
        <v>0</v>
      </c>
      <c r="D27" s="370">
        <v>0</v>
      </c>
      <c r="E27" s="370">
        <v>0</v>
      </c>
      <c r="F27" s="370">
        <v>0</v>
      </c>
      <c r="G27" s="370">
        <v>0</v>
      </c>
      <c r="H27" s="370">
        <v>0</v>
      </c>
      <c r="I27" s="370">
        <v>0</v>
      </c>
      <c r="J27" s="370">
        <v>0</v>
      </c>
      <c r="K27" s="370">
        <v>0</v>
      </c>
      <c r="L27" s="370">
        <v>0</v>
      </c>
      <c r="M27" s="370">
        <v>0</v>
      </c>
      <c r="N27" s="482">
        <f t="shared" si="0"/>
        <v>55.295999999999999</v>
      </c>
      <c r="O27" s="211"/>
    </row>
    <row r="28" spans="1:15" s="224" customFormat="1" ht="14.9" customHeight="1">
      <c r="A28" s="312" t="s">
        <v>283</v>
      </c>
      <c r="B28" s="310">
        <v>22.978999999999999</v>
      </c>
      <c r="C28" s="370">
        <v>0</v>
      </c>
      <c r="D28" s="370">
        <v>0</v>
      </c>
      <c r="E28" s="370">
        <v>0</v>
      </c>
      <c r="F28" s="370">
        <v>0</v>
      </c>
      <c r="G28" s="370">
        <v>0</v>
      </c>
      <c r="H28" s="370">
        <v>0</v>
      </c>
      <c r="I28" s="370">
        <v>0</v>
      </c>
      <c r="J28" s="370">
        <v>0</v>
      </c>
      <c r="K28" s="370">
        <v>0</v>
      </c>
      <c r="L28" s="370">
        <v>0</v>
      </c>
      <c r="M28" s="370">
        <v>0</v>
      </c>
      <c r="N28" s="482">
        <f t="shared" si="0"/>
        <v>22.978999999999999</v>
      </c>
    </row>
    <row r="29" spans="1:15" s="224" customFormat="1" ht="13.5">
      <c r="A29" s="312" t="s">
        <v>284</v>
      </c>
      <c r="B29" s="310">
        <v>8.077</v>
      </c>
      <c r="C29" s="370">
        <v>0</v>
      </c>
      <c r="D29" s="370">
        <v>0</v>
      </c>
      <c r="E29" s="370">
        <v>0</v>
      </c>
      <c r="F29" s="370">
        <v>0</v>
      </c>
      <c r="G29" s="370">
        <v>0</v>
      </c>
      <c r="H29" s="370">
        <v>0</v>
      </c>
      <c r="I29" s="370">
        <v>0</v>
      </c>
      <c r="J29" s="370">
        <v>0</v>
      </c>
      <c r="K29" s="370">
        <v>0</v>
      </c>
      <c r="L29" s="370">
        <v>0</v>
      </c>
      <c r="M29" s="370">
        <v>0</v>
      </c>
      <c r="N29" s="482">
        <f t="shared" si="0"/>
        <v>8.077</v>
      </c>
    </row>
    <row r="30" spans="1:15" s="224" customFormat="1" ht="13.5">
      <c r="A30" s="312" t="s">
        <v>208</v>
      </c>
      <c r="B30" s="310">
        <v>7.1999999999999995E-2</v>
      </c>
      <c r="C30" s="370">
        <v>0</v>
      </c>
      <c r="D30" s="370">
        <v>0</v>
      </c>
      <c r="E30" s="370">
        <v>0</v>
      </c>
      <c r="F30" s="370">
        <v>0</v>
      </c>
      <c r="G30" s="370">
        <v>0</v>
      </c>
      <c r="H30" s="370">
        <v>0</v>
      </c>
      <c r="I30" s="370">
        <v>0</v>
      </c>
      <c r="J30" s="370">
        <v>0</v>
      </c>
      <c r="K30" s="370">
        <v>0</v>
      </c>
      <c r="L30" s="370">
        <v>0</v>
      </c>
      <c r="M30" s="370">
        <v>0</v>
      </c>
      <c r="N30" s="482">
        <f t="shared" si="0"/>
        <v>7.1999999999999995E-2</v>
      </c>
    </row>
    <row r="31" spans="1:15" s="224" customFormat="1">
      <c r="A31" s="312" t="s">
        <v>209</v>
      </c>
      <c r="B31" s="310">
        <v>11.85</v>
      </c>
      <c r="C31" s="370">
        <v>0</v>
      </c>
      <c r="D31" s="370">
        <v>0</v>
      </c>
      <c r="E31" s="370">
        <v>0</v>
      </c>
      <c r="F31" s="370">
        <v>0</v>
      </c>
      <c r="G31" s="370">
        <v>0</v>
      </c>
      <c r="H31" s="370">
        <v>0</v>
      </c>
      <c r="I31" s="370">
        <v>0</v>
      </c>
      <c r="J31" s="370">
        <v>0</v>
      </c>
      <c r="K31" s="370">
        <v>0</v>
      </c>
      <c r="L31" s="370">
        <v>0</v>
      </c>
      <c r="M31" s="370">
        <v>0</v>
      </c>
      <c r="N31" s="482">
        <f t="shared" si="0"/>
        <v>11.85</v>
      </c>
    </row>
    <row r="32" spans="1:15" s="224" customFormat="1">
      <c r="A32" s="312" t="s">
        <v>285</v>
      </c>
      <c r="B32" s="310">
        <v>3.2120000000000002</v>
      </c>
      <c r="C32" s="370">
        <v>0</v>
      </c>
      <c r="D32" s="370">
        <v>0</v>
      </c>
      <c r="E32" s="370">
        <v>0</v>
      </c>
      <c r="F32" s="370">
        <v>0</v>
      </c>
      <c r="G32" s="370">
        <v>0</v>
      </c>
      <c r="H32" s="370">
        <v>0</v>
      </c>
      <c r="I32" s="370">
        <v>0</v>
      </c>
      <c r="J32" s="370">
        <v>0</v>
      </c>
      <c r="K32" s="370">
        <v>0</v>
      </c>
      <c r="L32" s="370">
        <v>0</v>
      </c>
      <c r="M32" s="370">
        <v>0</v>
      </c>
      <c r="N32" s="482">
        <f t="shared" si="0"/>
        <v>3.2120000000000002</v>
      </c>
    </row>
    <row r="33" spans="1:15" s="224" customFormat="1">
      <c r="A33" s="312" t="s">
        <v>286</v>
      </c>
      <c r="B33" s="374">
        <v>0</v>
      </c>
      <c r="C33" s="375">
        <v>0</v>
      </c>
      <c r="D33" s="375">
        <v>0</v>
      </c>
      <c r="E33" s="375">
        <v>0</v>
      </c>
      <c r="F33" s="375">
        <v>0</v>
      </c>
      <c r="G33" s="375">
        <v>0</v>
      </c>
      <c r="H33" s="375">
        <v>0</v>
      </c>
      <c r="I33" s="375">
        <v>0</v>
      </c>
      <c r="J33" s="375">
        <v>0</v>
      </c>
      <c r="K33" s="375">
        <v>0</v>
      </c>
      <c r="L33" s="375">
        <v>0</v>
      </c>
      <c r="M33" s="375">
        <v>0</v>
      </c>
      <c r="N33" s="482">
        <f t="shared" si="0"/>
        <v>0</v>
      </c>
    </row>
    <row r="34" spans="1:15" ht="12" thickBot="1">
      <c r="A34" s="320" t="s">
        <v>210</v>
      </c>
      <c r="B34" s="419">
        <f t="shared" ref="B34:M34" si="1">SUM(B9:B33)</f>
        <v>515.26599999999996</v>
      </c>
      <c r="C34" s="420">
        <f t="shared" si="1"/>
        <v>0</v>
      </c>
      <c r="D34" s="420">
        <f t="shared" si="1"/>
        <v>0</v>
      </c>
      <c r="E34" s="420">
        <f t="shared" si="1"/>
        <v>0</v>
      </c>
      <c r="F34" s="420">
        <f t="shared" si="1"/>
        <v>0</v>
      </c>
      <c r="G34" s="420">
        <f t="shared" si="1"/>
        <v>0</v>
      </c>
      <c r="H34" s="462">
        <f t="shared" si="1"/>
        <v>0</v>
      </c>
      <c r="I34" s="420">
        <f t="shared" si="1"/>
        <v>0</v>
      </c>
      <c r="J34" s="420">
        <f t="shared" si="1"/>
        <v>0</v>
      </c>
      <c r="K34" s="420">
        <f t="shared" si="1"/>
        <v>0</v>
      </c>
      <c r="L34" s="420">
        <f t="shared" si="1"/>
        <v>0</v>
      </c>
      <c r="M34" s="420">
        <f t="shared" si="1"/>
        <v>0</v>
      </c>
      <c r="N34" s="638">
        <f>SUM(N9:N33)</f>
        <v>515.26599999999996</v>
      </c>
    </row>
    <row r="35" spans="1:15">
      <c r="A35" s="312"/>
      <c r="B35" s="310"/>
      <c r="C35" s="223"/>
      <c r="D35" s="223"/>
      <c r="E35" s="223"/>
      <c r="F35" s="223"/>
      <c r="G35" s="223"/>
      <c r="H35" s="463"/>
      <c r="I35" s="223"/>
      <c r="J35" s="223"/>
      <c r="K35" s="223"/>
      <c r="L35" s="223"/>
      <c r="M35" s="223"/>
      <c r="N35" s="482"/>
    </row>
    <row r="36" spans="1:15" s="224" customFormat="1">
      <c r="A36" s="311" t="s">
        <v>211</v>
      </c>
      <c r="B36" s="310"/>
      <c r="C36" s="223"/>
      <c r="D36" s="223"/>
      <c r="E36" s="223"/>
      <c r="F36" s="223"/>
      <c r="G36" s="223"/>
      <c r="H36" s="463"/>
      <c r="I36" s="223"/>
      <c r="J36" s="223"/>
      <c r="K36" s="223"/>
      <c r="L36" s="223"/>
      <c r="M36" s="223"/>
      <c r="N36" s="482"/>
      <c r="O36" s="211"/>
    </row>
    <row r="37" spans="1:15">
      <c r="A37" s="312" t="s">
        <v>196</v>
      </c>
      <c r="B37" s="370">
        <v>124.98</v>
      </c>
      <c r="C37" s="370">
        <v>0</v>
      </c>
      <c r="D37" s="370">
        <v>0</v>
      </c>
      <c r="E37" s="370">
        <v>0</v>
      </c>
      <c r="F37" s="370">
        <v>0</v>
      </c>
      <c r="G37" s="370">
        <v>0</v>
      </c>
      <c r="H37" s="370">
        <v>0</v>
      </c>
      <c r="I37" s="370">
        <v>0</v>
      </c>
      <c r="J37" s="370">
        <v>0</v>
      </c>
      <c r="K37" s="370">
        <v>0</v>
      </c>
      <c r="L37" s="370">
        <v>0</v>
      </c>
      <c r="M37" s="370">
        <v>0</v>
      </c>
      <c r="N37" s="482">
        <f t="shared" ref="N37:N46" si="2">SUM(B37:M37)</f>
        <v>124.98</v>
      </c>
    </row>
    <row r="38" spans="1:15" s="213" customFormat="1" ht="14.5">
      <c r="A38" s="313" t="s">
        <v>212</v>
      </c>
      <c r="B38" s="370">
        <v>0.24199999999999999</v>
      </c>
      <c r="C38" s="370">
        <v>0</v>
      </c>
      <c r="D38" s="370">
        <v>0</v>
      </c>
      <c r="E38" s="370">
        <v>0</v>
      </c>
      <c r="F38" s="370">
        <v>0</v>
      </c>
      <c r="G38" s="370">
        <v>0</v>
      </c>
      <c r="H38" s="370">
        <v>0</v>
      </c>
      <c r="I38" s="370">
        <v>0</v>
      </c>
      <c r="J38" s="370">
        <v>0</v>
      </c>
      <c r="K38" s="370">
        <v>0</v>
      </c>
      <c r="L38" s="370">
        <v>0</v>
      </c>
      <c r="M38" s="370">
        <v>0</v>
      </c>
      <c r="N38" s="482">
        <f t="shared" si="2"/>
        <v>0.24199999999999999</v>
      </c>
    </row>
    <row r="39" spans="1:15">
      <c r="A39" s="312" t="s">
        <v>154</v>
      </c>
      <c r="B39" s="370">
        <v>18.131</v>
      </c>
      <c r="C39" s="370">
        <v>0</v>
      </c>
      <c r="D39" s="370">
        <v>0</v>
      </c>
      <c r="E39" s="370">
        <v>0</v>
      </c>
      <c r="F39" s="370">
        <v>0</v>
      </c>
      <c r="G39" s="370">
        <v>0</v>
      </c>
      <c r="H39" s="370">
        <v>0</v>
      </c>
      <c r="I39" s="370">
        <v>0</v>
      </c>
      <c r="J39" s="370">
        <v>0</v>
      </c>
      <c r="K39" s="370">
        <v>0</v>
      </c>
      <c r="L39" s="370">
        <v>0</v>
      </c>
      <c r="M39" s="370">
        <v>0</v>
      </c>
      <c r="N39" s="482">
        <f t="shared" si="2"/>
        <v>18.131</v>
      </c>
    </row>
    <row r="40" spans="1:15">
      <c r="A40" s="312" t="s">
        <v>213</v>
      </c>
      <c r="B40" s="370">
        <v>0</v>
      </c>
      <c r="C40" s="370">
        <v>0</v>
      </c>
      <c r="D40" s="370">
        <v>0</v>
      </c>
      <c r="E40" s="370">
        <v>0</v>
      </c>
      <c r="F40" s="370">
        <v>0</v>
      </c>
      <c r="G40" s="370">
        <v>0</v>
      </c>
      <c r="H40" s="370">
        <v>0</v>
      </c>
      <c r="I40" s="370">
        <v>0</v>
      </c>
      <c r="J40" s="370">
        <v>0</v>
      </c>
      <c r="K40" s="370">
        <v>0</v>
      </c>
      <c r="L40" s="370">
        <v>0</v>
      </c>
      <c r="M40" s="370">
        <v>0</v>
      </c>
      <c r="N40" s="482">
        <f t="shared" si="2"/>
        <v>0</v>
      </c>
    </row>
    <row r="41" spans="1:15" ht="13.5">
      <c r="A41" s="312" t="s">
        <v>287</v>
      </c>
      <c r="B41" s="370">
        <v>86.581000000000003</v>
      </c>
      <c r="C41" s="370">
        <v>0</v>
      </c>
      <c r="D41" s="370">
        <v>0</v>
      </c>
      <c r="E41" s="370">
        <v>0</v>
      </c>
      <c r="F41" s="370">
        <v>0</v>
      </c>
      <c r="G41" s="370">
        <v>0</v>
      </c>
      <c r="H41" s="370">
        <v>0</v>
      </c>
      <c r="I41" s="370">
        <v>0</v>
      </c>
      <c r="J41" s="370">
        <v>0</v>
      </c>
      <c r="K41" s="370">
        <v>0</v>
      </c>
      <c r="L41" s="370">
        <v>0</v>
      </c>
      <c r="M41" s="370">
        <v>0</v>
      </c>
      <c r="N41" s="482">
        <f t="shared" si="2"/>
        <v>86.581000000000003</v>
      </c>
    </row>
    <row r="42" spans="1:15">
      <c r="A42" s="313" t="s">
        <v>214</v>
      </c>
      <c r="B42" s="370">
        <v>18.05</v>
      </c>
      <c r="C42" s="370">
        <v>0</v>
      </c>
      <c r="D42" s="370">
        <v>0</v>
      </c>
      <c r="E42" s="370">
        <v>0</v>
      </c>
      <c r="F42" s="370">
        <v>0</v>
      </c>
      <c r="G42" s="370">
        <v>0</v>
      </c>
      <c r="H42" s="370">
        <v>0</v>
      </c>
      <c r="I42" s="370">
        <v>0</v>
      </c>
      <c r="J42" s="370">
        <v>0</v>
      </c>
      <c r="K42" s="370">
        <v>0</v>
      </c>
      <c r="L42" s="370">
        <v>0</v>
      </c>
      <c r="M42" s="370">
        <v>0</v>
      </c>
      <c r="N42" s="482">
        <f t="shared" si="2"/>
        <v>18.05</v>
      </c>
    </row>
    <row r="43" spans="1:15">
      <c r="A43" s="312" t="s">
        <v>164</v>
      </c>
      <c r="B43" s="370">
        <v>0</v>
      </c>
      <c r="C43" s="370">
        <v>0</v>
      </c>
      <c r="D43" s="370">
        <v>0</v>
      </c>
      <c r="E43" s="370">
        <v>0</v>
      </c>
      <c r="F43" s="370">
        <v>0</v>
      </c>
      <c r="G43" s="370">
        <v>0</v>
      </c>
      <c r="H43" s="370">
        <v>0</v>
      </c>
      <c r="I43" s="370">
        <v>0</v>
      </c>
      <c r="J43" s="370">
        <v>0</v>
      </c>
      <c r="K43" s="370">
        <v>0</v>
      </c>
      <c r="L43" s="370">
        <v>0</v>
      </c>
      <c r="M43" s="370">
        <v>0</v>
      </c>
      <c r="N43" s="482">
        <f t="shared" si="2"/>
        <v>0</v>
      </c>
    </row>
    <row r="44" spans="1:15">
      <c r="A44" s="312" t="s">
        <v>203</v>
      </c>
      <c r="B44" s="370">
        <v>0</v>
      </c>
      <c r="C44" s="370">
        <v>0</v>
      </c>
      <c r="D44" s="370">
        <v>0</v>
      </c>
      <c r="E44" s="370">
        <v>0</v>
      </c>
      <c r="F44" s="370">
        <v>0</v>
      </c>
      <c r="G44" s="370">
        <v>0</v>
      </c>
      <c r="H44" s="370">
        <v>0</v>
      </c>
      <c r="I44" s="370">
        <v>0</v>
      </c>
      <c r="J44" s="370">
        <v>0</v>
      </c>
      <c r="K44" s="370">
        <v>0</v>
      </c>
      <c r="L44" s="370">
        <v>0</v>
      </c>
      <c r="M44" s="370">
        <v>0</v>
      </c>
      <c r="N44" s="482">
        <f t="shared" si="2"/>
        <v>0</v>
      </c>
    </row>
    <row r="45" spans="1:15">
      <c r="A45" s="417" t="s">
        <v>215</v>
      </c>
      <c r="B45" s="370">
        <v>0</v>
      </c>
      <c r="C45" s="370">
        <v>0</v>
      </c>
      <c r="D45" s="370">
        <v>0</v>
      </c>
      <c r="E45" s="370">
        <v>0</v>
      </c>
      <c r="F45" s="370">
        <v>0</v>
      </c>
      <c r="G45" s="370">
        <v>0</v>
      </c>
      <c r="H45" s="370">
        <v>0</v>
      </c>
      <c r="I45" s="370">
        <v>0</v>
      </c>
      <c r="J45" s="370">
        <v>0</v>
      </c>
      <c r="K45" s="370">
        <v>0</v>
      </c>
      <c r="L45" s="370">
        <v>0</v>
      </c>
      <c r="M45" s="370">
        <v>0</v>
      </c>
      <c r="N45" s="482">
        <f t="shared" si="2"/>
        <v>0</v>
      </c>
    </row>
    <row r="46" spans="1:15">
      <c r="A46" s="312" t="s">
        <v>216</v>
      </c>
      <c r="B46" s="375">
        <v>0</v>
      </c>
      <c r="C46" s="375">
        <v>0</v>
      </c>
      <c r="D46" s="375">
        <v>0</v>
      </c>
      <c r="E46" s="375">
        <v>0</v>
      </c>
      <c r="F46" s="375">
        <v>0</v>
      </c>
      <c r="G46" s="375">
        <v>0</v>
      </c>
      <c r="H46" s="375">
        <v>0</v>
      </c>
      <c r="I46" s="375">
        <v>0</v>
      </c>
      <c r="J46" s="375">
        <v>0</v>
      </c>
      <c r="K46" s="375">
        <v>0</v>
      </c>
      <c r="L46" s="375">
        <v>0</v>
      </c>
      <c r="M46" s="375">
        <v>0</v>
      </c>
      <c r="N46" s="482">
        <f t="shared" si="2"/>
        <v>0</v>
      </c>
    </row>
    <row r="47" spans="1:15">
      <c r="A47" s="421" t="s">
        <v>217</v>
      </c>
      <c r="B47" s="576">
        <f t="shared" ref="B47:M47" si="3">SUM(B37:B46)</f>
        <v>247.98400000000004</v>
      </c>
      <c r="C47" s="576">
        <f t="shared" si="3"/>
        <v>0</v>
      </c>
      <c r="D47" s="576">
        <f t="shared" si="3"/>
        <v>0</v>
      </c>
      <c r="E47" s="576">
        <f t="shared" si="3"/>
        <v>0</v>
      </c>
      <c r="F47" s="576">
        <f t="shared" si="3"/>
        <v>0</v>
      </c>
      <c r="G47" s="576">
        <f t="shared" si="3"/>
        <v>0</v>
      </c>
      <c r="H47" s="577">
        <f t="shared" si="3"/>
        <v>0</v>
      </c>
      <c r="I47" s="576">
        <f t="shared" si="3"/>
        <v>0</v>
      </c>
      <c r="J47" s="576">
        <f t="shared" si="3"/>
        <v>0</v>
      </c>
      <c r="K47" s="576">
        <f t="shared" si="3"/>
        <v>0</v>
      </c>
      <c r="L47" s="576">
        <f t="shared" si="3"/>
        <v>0</v>
      </c>
      <c r="M47" s="576">
        <f t="shared" si="3"/>
        <v>0</v>
      </c>
      <c r="N47" s="639">
        <f>SUM(N37:N46)</f>
        <v>247.98400000000004</v>
      </c>
    </row>
    <row r="48" spans="1:15" ht="20.25" customHeight="1" thickBot="1">
      <c r="A48" s="225" t="s">
        <v>218</v>
      </c>
      <c r="B48" s="227">
        <f t="shared" ref="B48:M48" si="4">B47+B34</f>
        <v>763.25</v>
      </c>
      <c r="C48" s="228">
        <f t="shared" si="4"/>
        <v>0</v>
      </c>
      <c r="D48" s="228">
        <f t="shared" si="4"/>
        <v>0</v>
      </c>
      <c r="E48" s="228">
        <f t="shared" si="4"/>
        <v>0</v>
      </c>
      <c r="F48" s="228">
        <f t="shared" si="4"/>
        <v>0</v>
      </c>
      <c r="G48" s="228">
        <f t="shared" si="4"/>
        <v>0</v>
      </c>
      <c r="H48" s="464">
        <f t="shared" si="4"/>
        <v>0</v>
      </c>
      <c r="I48" s="228">
        <f t="shared" si="4"/>
        <v>0</v>
      </c>
      <c r="J48" s="228">
        <f t="shared" si="4"/>
        <v>0</v>
      </c>
      <c r="K48" s="228">
        <f t="shared" si="4"/>
        <v>0</v>
      </c>
      <c r="L48" s="228">
        <f t="shared" si="4"/>
        <v>0</v>
      </c>
      <c r="M48" s="228">
        <f t="shared" si="4"/>
        <v>0</v>
      </c>
      <c r="N48" s="486">
        <f>N47+N34</f>
        <v>763.25</v>
      </c>
    </row>
    <row r="49" spans="1:14" ht="16.5" customHeight="1">
      <c r="A49" s="226"/>
      <c r="B49" s="314"/>
      <c r="C49" s="314"/>
      <c r="D49" s="314"/>
      <c r="E49" s="314"/>
      <c r="F49" s="314"/>
      <c r="G49" s="314"/>
      <c r="H49" s="462"/>
      <c r="I49" s="314"/>
      <c r="J49" s="485"/>
      <c r="K49" s="314"/>
      <c r="L49" s="314"/>
      <c r="M49" s="314"/>
      <c r="N49" s="484"/>
    </row>
    <row r="50" spans="1:14" s="213" customFormat="1" ht="30.75" customHeight="1" thickBot="1">
      <c r="A50" s="620" t="s">
        <v>219</v>
      </c>
      <c r="B50" s="621">
        <f>B48+0.041</f>
        <v>763.29100000000005</v>
      </c>
      <c r="C50" s="621">
        <v>0</v>
      </c>
      <c r="D50" s="621">
        <v>0</v>
      </c>
      <c r="E50" s="621">
        <v>0</v>
      </c>
      <c r="F50" s="621">
        <v>0</v>
      </c>
      <c r="G50" s="621">
        <v>0</v>
      </c>
      <c r="H50" s="621">
        <v>0</v>
      </c>
      <c r="I50" s="621">
        <v>0</v>
      </c>
      <c r="J50" s="621">
        <v>0</v>
      </c>
      <c r="K50" s="621">
        <v>0</v>
      </c>
      <c r="L50" s="621">
        <v>0</v>
      </c>
      <c r="M50" s="621">
        <v>0</v>
      </c>
      <c r="N50" s="622">
        <f>SUM(B50:M50)</f>
        <v>763.29100000000005</v>
      </c>
    </row>
    <row r="51" spans="1:14" ht="12.75" customHeight="1">
      <c r="A51" s="253"/>
      <c r="B51" s="254"/>
      <c r="C51" s="254"/>
      <c r="D51" s="254"/>
      <c r="E51" s="254"/>
      <c r="F51" s="254"/>
      <c r="G51" s="254"/>
      <c r="H51" s="254"/>
      <c r="I51" s="254"/>
      <c r="J51" s="254"/>
      <c r="K51" s="254"/>
      <c r="L51" s="254"/>
      <c r="M51" s="254"/>
      <c r="N51" s="255"/>
    </row>
    <row r="52" spans="1:14" ht="12.75" customHeight="1">
      <c r="A52" s="428" t="s">
        <v>82</v>
      </c>
      <c r="B52" s="254"/>
      <c r="C52" s="254"/>
      <c r="D52" s="254"/>
      <c r="E52" s="254"/>
      <c r="F52" s="254"/>
      <c r="G52" s="254"/>
      <c r="H52" s="254"/>
      <c r="I52" s="254"/>
      <c r="J52" s="254"/>
      <c r="K52" s="254"/>
      <c r="L52" s="254"/>
      <c r="M52" s="254"/>
      <c r="N52" s="255"/>
    </row>
    <row r="53" spans="1:14" s="224" customFormat="1" ht="16.5">
      <c r="A53" s="578"/>
      <c r="G53" s="223"/>
      <c r="H53" s="223"/>
      <c r="J53" s="279"/>
    </row>
    <row r="54" spans="1:14" s="224" customFormat="1" ht="16.5" customHeight="1">
      <c r="A54" s="567"/>
      <c r="G54" s="223"/>
      <c r="H54" s="223"/>
      <c r="J54" s="279"/>
    </row>
    <row r="55" spans="1:14" s="224" customFormat="1" ht="16.5" customHeight="1">
      <c r="A55" s="567"/>
      <c r="G55" s="223"/>
      <c r="H55" s="223"/>
      <c r="J55" s="279"/>
    </row>
    <row r="56" spans="1:14" s="471" customFormat="1" ht="14">
      <c r="A56" s="567"/>
      <c r="J56" s="472"/>
    </row>
    <row r="57" spans="1:14" ht="14">
      <c r="A57" s="567"/>
      <c r="B57" s="130"/>
      <c r="C57" s="130"/>
      <c r="D57" s="130"/>
      <c r="E57" s="130"/>
      <c r="F57" s="130"/>
    </row>
    <row r="58" spans="1:14" s="213" customFormat="1" ht="14">
      <c r="A58" s="579"/>
      <c r="B58" s="197"/>
      <c r="C58" s="197"/>
      <c r="D58" s="197"/>
      <c r="E58" s="197"/>
      <c r="F58" s="197"/>
      <c r="J58" s="473"/>
    </row>
    <row r="59" spans="1:14" ht="14">
      <c r="A59" s="567"/>
    </row>
    <row r="60" spans="1:14" ht="14">
      <c r="A60" s="567"/>
    </row>
    <row r="61" spans="1:14" ht="14">
      <c r="A61" s="238" t="s">
        <v>65</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J50" sqref="J50"/>
    </sheetView>
  </sheetViews>
  <sheetFormatPr defaultColWidth="9.26953125" defaultRowHeight="12.5"/>
  <cols>
    <col min="1" max="1" width="39.453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220</v>
      </c>
      <c r="F3" s="160"/>
      <c r="G3" s="160"/>
    </row>
    <row r="4" spans="1:14" ht="13">
      <c r="A4" s="22"/>
      <c r="D4" s="160"/>
      <c r="E4" s="151" t="str">
        <f>'Program MW '!H3</f>
        <v>January 2021</v>
      </c>
      <c r="F4" s="160"/>
    </row>
    <row r="5" spans="1:14" ht="13">
      <c r="A5" s="422"/>
      <c r="E5" s="151"/>
    </row>
    <row r="6" spans="1:14" ht="13.5" thickBot="1">
      <c r="A6" s="22"/>
      <c r="E6" s="151"/>
    </row>
    <row r="7" spans="1:14" ht="32.25" customHeight="1">
      <c r="A7" s="23" t="s">
        <v>193</v>
      </c>
      <c r="B7" s="24" t="s">
        <v>41</v>
      </c>
      <c r="C7" s="24" t="s">
        <v>42</v>
      </c>
      <c r="D7" s="24" t="s">
        <v>43</v>
      </c>
      <c r="E7" s="24" t="s">
        <v>44</v>
      </c>
      <c r="F7" s="24" t="s">
        <v>31</v>
      </c>
      <c r="G7" s="24" t="s">
        <v>45</v>
      </c>
      <c r="H7" s="24" t="s">
        <v>59</v>
      </c>
      <c r="I7" s="24" t="s">
        <v>67</v>
      </c>
      <c r="J7" s="24" t="s">
        <v>68</v>
      </c>
      <c r="K7" s="24" t="s">
        <v>61</v>
      </c>
      <c r="L7" s="24" t="s">
        <v>69</v>
      </c>
      <c r="M7" s="24" t="s">
        <v>62</v>
      </c>
      <c r="N7" s="476" t="s">
        <v>221</v>
      </c>
    </row>
    <row r="8" spans="1:14" ht="16.5">
      <c r="A8" s="25" t="s">
        <v>222</v>
      </c>
      <c r="N8" s="323"/>
    </row>
    <row r="9" spans="1:14" ht="6" customHeight="1">
      <c r="A9" s="26"/>
      <c r="N9" s="323"/>
    </row>
    <row r="10" spans="1:14" ht="13">
      <c r="A10" s="26" t="s">
        <v>195</v>
      </c>
      <c r="N10" s="323"/>
    </row>
    <row r="11" spans="1:14" ht="14.25" customHeight="1">
      <c r="A11" s="27" t="s">
        <v>223</v>
      </c>
      <c r="B11" s="30">
        <v>2.012</v>
      </c>
      <c r="C11" s="30">
        <v>0</v>
      </c>
      <c r="D11" s="30">
        <v>0</v>
      </c>
      <c r="E11" s="30">
        <v>0</v>
      </c>
      <c r="F11" s="30">
        <v>0</v>
      </c>
      <c r="G11" s="30">
        <v>0</v>
      </c>
      <c r="H11" s="30">
        <v>0</v>
      </c>
      <c r="I11" s="30">
        <v>0</v>
      </c>
      <c r="J11" s="30">
        <v>0</v>
      </c>
      <c r="K11" s="30">
        <v>0</v>
      </c>
      <c r="L11" s="30">
        <v>0</v>
      </c>
      <c r="M11" s="30">
        <v>0</v>
      </c>
      <c r="N11" s="626">
        <f>SUM(B11:M11)</f>
        <v>2.012</v>
      </c>
    </row>
    <row r="12" spans="1:14">
      <c r="A12" s="27" t="s">
        <v>94</v>
      </c>
      <c r="B12" s="30">
        <v>0</v>
      </c>
      <c r="C12" s="30">
        <v>0</v>
      </c>
      <c r="D12" s="30">
        <v>0</v>
      </c>
      <c r="E12" s="30">
        <v>0</v>
      </c>
      <c r="F12" s="30">
        <v>0</v>
      </c>
      <c r="G12" s="30">
        <v>0</v>
      </c>
      <c r="H12" s="30">
        <v>0</v>
      </c>
      <c r="I12" s="30">
        <v>0</v>
      </c>
      <c r="J12" s="30">
        <v>0</v>
      </c>
      <c r="K12" s="30">
        <v>0</v>
      </c>
      <c r="L12" s="30">
        <v>0</v>
      </c>
      <c r="M12" s="30">
        <v>0</v>
      </c>
      <c r="N12" s="626">
        <f>SUM(B12:M12)</f>
        <v>0</v>
      </c>
    </row>
    <row r="13" spans="1:14">
      <c r="A13" s="27" t="s">
        <v>224</v>
      </c>
      <c r="B13" s="30">
        <v>0</v>
      </c>
      <c r="C13" s="30">
        <v>0</v>
      </c>
      <c r="D13" s="30">
        <v>0</v>
      </c>
      <c r="E13" s="30">
        <v>0</v>
      </c>
      <c r="F13" s="30">
        <v>0</v>
      </c>
      <c r="G13" s="30">
        <v>0</v>
      </c>
      <c r="H13" s="30">
        <v>0</v>
      </c>
      <c r="I13" s="30">
        <v>0</v>
      </c>
      <c r="J13" s="30">
        <v>0</v>
      </c>
      <c r="K13" s="30">
        <v>0</v>
      </c>
      <c r="L13" s="30">
        <v>0</v>
      </c>
      <c r="M13" s="30">
        <v>0</v>
      </c>
      <c r="N13" s="626">
        <f>SUM(B13:M13)</f>
        <v>0</v>
      </c>
    </row>
    <row r="14" spans="1:14" ht="13">
      <c r="A14" s="20" t="s">
        <v>225</v>
      </c>
      <c r="B14" s="457">
        <f t="shared" ref="B14:M14" si="0">SUM(B11:B13)</f>
        <v>2.012</v>
      </c>
      <c r="C14" s="457">
        <f t="shared" si="0"/>
        <v>0</v>
      </c>
      <c r="D14" s="457">
        <f t="shared" si="0"/>
        <v>0</v>
      </c>
      <c r="E14" s="457">
        <f t="shared" si="0"/>
        <v>0</v>
      </c>
      <c r="F14" s="457">
        <f t="shared" si="0"/>
        <v>0</v>
      </c>
      <c r="G14" s="457">
        <f t="shared" si="0"/>
        <v>0</v>
      </c>
      <c r="H14" s="457">
        <f t="shared" si="0"/>
        <v>0</v>
      </c>
      <c r="I14" s="457">
        <f t="shared" si="0"/>
        <v>0</v>
      </c>
      <c r="J14" s="457">
        <f t="shared" si="0"/>
        <v>0</v>
      </c>
      <c r="K14" s="457">
        <f t="shared" si="0"/>
        <v>0</v>
      </c>
      <c r="L14" s="457">
        <f t="shared" si="0"/>
        <v>0</v>
      </c>
      <c r="M14" s="457">
        <f t="shared" si="0"/>
        <v>0</v>
      </c>
      <c r="N14" s="627">
        <f>SUM(B14:M14)</f>
        <v>2.012</v>
      </c>
    </row>
    <row r="15" spans="1:14">
      <c r="A15" s="27"/>
      <c r="B15" s="30"/>
      <c r="C15" s="30"/>
      <c r="D15" s="30"/>
      <c r="E15" s="30"/>
      <c r="F15" s="30"/>
      <c r="G15" s="30"/>
      <c r="H15" s="30"/>
      <c r="I15" s="30"/>
      <c r="J15" s="30"/>
      <c r="K15" s="30"/>
      <c r="L15" s="30"/>
      <c r="M15" s="30"/>
      <c r="N15" s="626"/>
    </row>
    <row r="16" spans="1:14" ht="13">
      <c r="A16" s="26" t="s">
        <v>226</v>
      </c>
      <c r="B16" s="30"/>
      <c r="C16" s="30"/>
      <c r="D16" s="30"/>
      <c r="E16" s="30"/>
      <c r="F16" s="30"/>
      <c r="G16" s="30"/>
      <c r="H16" s="30"/>
      <c r="I16" s="30"/>
      <c r="J16" s="30"/>
      <c r="K16" s="30"/>
      <c r="L16" s="30"/>
      <c r="M16" s="30"/>
      <c r="N16" s="626"/>
    </row>
    <row r="17" spans="1:19" ht="15">
      <c r="A17" s="27" t="s">
        <v>227</v>
      </c>
      <c r="B17" s="30">
        <v>0</v>
      </c>
      <c r="C17" s="30">
        <v>0</v>
      </c>
      <c r="D17" s="30">
        <v>0</v>
      </c>
      <c r="E17" s="30">
        <v>0</v>
      </c>
      <c r="F17" s="30">
        <v>0</v>
      </c>
      <c r="G17" s="30">
        <v>0</v>
      </c>
      <c r="H17" s="629">
        <v>0</v>
      </c>
      <c r="I17" s="629">
        <v>0</v>
      </c>
      <c r="J17" s="629">
        <v>0</v>
      </c>
      <c r="K17" s="629">
        <v>0</v>
      </c>
      <c r="L17" s="629">
        <v>0</v>
      </c>
      <c r="M17" s="629">
        <v>0</v>
      </c>
      <c r="N17" s="626">
        <f>SUM(B17:M17)</f>
        <v>0</v>
      </c>
    </row>
    <row r="18" spans="1:19" ht="13">
      <c r="A18" s="20" t="s">
        <v>228</v>
      </c>
      <c r="B18" s="457">
        <f t="shared" ref="B18:M18" si="1">SUM(B17:B17)</f>
        <v>0</v>
      </c>
      <c r="C18" s="457">
        <f t="shared" si="1"/>
        <v>0</v>
      </c>
      <c r="D18" s="457">
        <f t="shared" si="1"/>
        <v>0</v>
      </c>
      <c r="E18" s="457">
        <f t="shared" si="1"/>
        <v>0</v>
      </c>
      <c r="F18" s="457">
        <f t="shared" si="1"/>
        <v>0</v>
      </c>
      <c r="G18" s="457">
        <f t="shared" si="1"/>
        <v>0</v>
      </c>
      <c r="H18" s="457">
        <f t="shared" si="1"/>
        <v>0</v>
      </c>
      <c r="I18" s="457">
        <f t="shared" si="1"/>
        <v>0</v>
      </c>
      <c r="J18" s="457">
        <f t="shared" si="1"/>
        <v>0</v>
      </c>
      <c r="K18" s="457">
        <f t="shared" si="1"/>
        <v>0</v>
      </c>
      <c r="L18" s="457">
        <f t="shared" si="1"/>
        <v>0</v>
      </c>
      <c r="M18" s="457">
        <f t="shared" si="1"/>
        <v>0</v>
      </c>
      <c r="N18" s="627">
        <f>SUM(B18:M18)</f>
        <v>0</v>
      </c>
    </row>
    <row r="19" spans="1:19" ht="13">
      <c r="A19" s="29"/>
      <c r="B19" s="30"/>
      <c r="C19" s="30"/>
      <c r="D19" s="30"/>
      <c r="E19" s="30"/>
      <c r="F19" s="30"/>
      <c r="G19" s="30"/>
      <c r="H19" s="30"/>
      <c r="I19" s="30"/>
      <c r="J19" s="30"/>
      <c r="K19" s="30"/>
      <c r="L19" s="30"/>
      <c r="M19" s="30"/>
      <c r="N19" s="626"/>
    </row>
    <row r="20" spans="1:19" ht="13">
      <c r="A20" s="26" t="s">
        <v>229</v>
      </c>
      <c r="B20" s="30" t="s">
        <v>56</v>
      </c>
      <c r="C20" s="30" t="s">
        <v>56</v>
      </c>
      <c r="D20" s="30" t="s">
        <v>56</v>
      </c>
      <c r="E20" s="30"/>
      <c r="F20" s="30" t="s">
        <v>56</v>
      </c>
      <c r="G20" s="628"/>
      <c r="H20" s="30" t="s">
        <v>56</v>
      </c>
      <c r="I20" s="30" t="s">
        <v>56</v>
      </c>
      <c r="J20" s="30" t="s">
        <v>56</v>
      </c>
      <c r="K20" s="30" t="s">
        <v>56</v>
      </c>
      <c r="L20" s="30" t="s">
        <v>56</v>
      </c>
      <c r="M20" s="30" t="s">
        <v>56</v>
      </c>
      <c r="N20" s="626" t="s">
        <v>56</v>
      </c>
    </row>
    <row r="21" spans="1:19">
      <c r="A21" s="27" t="s">
        <v>230</v>
      </c>
      <c r="B21" s="30">
        <v>0</v>
      </c>
      <c r="C21" s="30">
        <v>0</v>
      </c>
      <c r="D21" s="30">
        <v>0</v>
      </c>
      <c r="E21" s="30">
        <v>0</v>
      </c>
      <c r="F21" s="30">
        <v>0</v>
      </c>
      <c r="G21" s="30">
        <v>0</v>
      </c>
      <c r="H21" s="629">
        <v>0</v>
      </c>
      <c r="I21" s="629">
        <v>0</v>
      </c>
      <c r="J21" s="629">
        <v>0</v>
      </c>
      <c r="K21" s="629">
        <v>0</v>
      </c>
      <c r="L21" s="629">
        <v>0</v>
      </c>
      <c r="M21" s="629">
        <v>0</v>
      </c>
      <c r="N21" s="626">
        <f>SUM(B21:M21)</f>
        <v>0</v>
      </c>
    </row>
    <row r="22" spans="1:19" ht="13">
      <c r="A22" s="207" t="s">
        <v>231</v>
      </c>
      <c r="B22" s="457">
        <f t="shared" ref="B22:M22" si="2">SUM(B21:B21)</f>
        <v>0</v>
      </c>
      <c r="C22" s="457">
        <f t="shared" si="2"/>
        <v>0</v>
      </c>
      <c r="D22" s="457">
        <f t="shared" si="2"/>
        <v>0</v>
      </c>
      <c r="E22" s="457">
        <f t="shared" si="2"/>
        <v>0</v>
      </c>
      <c r="F22" s="457">
        <f t="shared" si="2"/>
        <v>0</v>
      </c>
      <c r="G22" s="457">
        <f t="shared" si="2"/>
        <v>0</v>
      </c>
      <c r="H22" s="457">
        <f t="shared" si="2"/>
        <v>0</v>
      </c>
      <c r="I22" s="457">
        <f t="shared" si="2"/>
        <v>0</v>
      </c>
      <c r="J22" s="457">
        <f t="shared" si="2"/>
        <v>0</v>
      </c>
      <c r="K22" s="457">
        <f t="shared" si="2"/>
        <v>0</v>
      </c>
      <c r="L22" s="457">
        <f t="shared" si="2"/>
        <v>0</v>
      </c>
      <c r="M22" s="457">
        <f t="shared" si="2"/>
        <v>0</v>
      </c>
      <c r="N22" s="627">
        <f>SUM(B22:M22)</f>
        <v>0</v>
      </c>
    </row>
    <row r="23" spans="1:19" ht="13">
      <c r="A23" s="31"/>
      <c r="B23" s="30"/>
      <c r="C23" s="30"/>
      <c r="D23" s="30"/>
      <c r="E23" s="30"/>
      <c r="F23" s="30"/>
      <c r="G23" s="458"/>
      <c r="H23" s="30"/>
      <c r="I23" s="458"/>
      <c r="J23" s="30"/>
      <c r="K23" s="30"/>
      <c r="L23" s="458"/>
      <c r="M23" s="30"/>
      <c r="N23" s="626"/>
    </row>
    <row r="24" spans="1:19" ht="13">
      <c r="A24" s="32" t="s">
        <v>211</v>
      </c>
      <c r="B24" s="30"/>
      <c r="C24" s="30"/>
      <c r="D24" s="30"/>
      <c r="E24" s="30"/>
      <c r="F24" s="30"/>
      <c r="G24" s="30"/>
      <c r="H24" s="30"/>
      <c r="I24" s="30"/>
      <c r="J24" s="30"/>
      <c r="K24" s="30"/>
      <c r="L24" s="30"/>
      <c r="M24" s="30"/>
      <c r="N24" s="626"/>
    </row>
    <row r="25" spans="1:19">
      <c r="A25" s="27" t="s">
        <v>93</v>
      </c>
      <c r="B25" s="30">
        <v>0</v>
      </c>
      <c r="C25" s="30">
        <v>0</v>
      </c>
      <c r="D25" s="30">
        <v>0</v>
      </c>
      <c r="E25" s="30">
        <v>0</v>
      </c>
      <c r="F25" s="30">
        <v>0</v>
      </c>
      <c r="G25" s="30">
        <v>0</v>
      </c>
      <c r="H25" s="629">
        <v>0</v>
      </c>
      <c r="I25" s="629">
        <v>0</v>
      </c>
      <c r="J25" s="629">
        <v>0</v>
      </c>
      <c r="K25" s="629">
        <v>0</v>
      </c>
      <c r="L25" s="629">
        <v>0</v>
      </c>
      <c r="M25" s="629">
        <v>0</v>
      </c>
      <c r="N25" s="626">
        <f>SUM(B25:M25)</f>
        <v>0</v>
      </c>
    </row>
    <row r="26" spans="1:19">
      <c r="A26" s="27" t="s">
        <v>94</v>
      </c>
      <c r="B26" s="30">
        <v>0</v>
      </c>
      <c r="C26" s="30">
        <v>0</v>
      </c>
      <c r="D26" s="30">
        <v>0</v>
      </c>
      <c r="E26" s="30">
        <v>0</v>
      </c>
      <c r="F26" s="30">
        <v>0</v>
      </c>
      <c r="G26" s="30">
        <v>0</v>
      </c>
      <c r="H26" s="629">
        <v>0</v>
      </c>
      <c r="I26" s="629">
        <v>0</v>
      </c>
      <c r="J26" s="629">
        <v>0</v>
      </c>
      <c r="K26" s="629">
        <v>0</v>
      </c>
      <c r="L26" s="629">
        <v>0</v>
      </c>
      <c r="M26" s="629">
        <v>0</v>
      </c>
      <c r="N26" s="626">
        <f>SUM(B26:M26)</f>
        <v>0</v>
      </c>
    </row>
    <row r="27" spans="1:19">
      <c r="A27" s="27" t="s">
        <v>224</v>
      </c>
      <c r="B27" s="30">
        <v>0</v>
      </c>
      <c r="C27" s="30">
        <v>0</v>
      </c>
      <c r="D27" s="30">
        <v>0</v>
      </c>
      <c r="E27" s="30">
        <v>0</v>
      </c>
      <c r="F27" s="30">
        <v>0</v>
      </c>
      <c r="G27" s="30">
        <v>0</v>
      </c>
      <c r="H27" s="629">
        <v>0</v>
      </c>
      <c r="I27" s="629">
        <v>0</v>
      </c>
      <c r="J27" s="629">
        <v>0</v>
      </c>
      <c r="K27" s="629">
        <v>0</v>
      </c>
      <c r="L27" s="629">
        <v>0</v>
      </c>
      <c r="M27" s="631">
        <v>0</v>
      </c>
      <c r="N27" s="626">
        <f>SUM(B27:M27)</f>
        <v>0</v>
      </c>
    </row>
    <row r="28" spans="1:19" ht="13">
      <c r="A28" s="33" t="s">
        <v>217</v>
      </c>
      <c r="B28" s="457">
        <f t="shared" ref="B28:H28" si="3">SUM(B25:B27)</f>
        <v>0</v>
      </c>
      <c r="C28" s="457">
        <f t="shared" si="3"/>
        <v>0</v>
      </c>
      <c r="D28" s="457">
        <f t="shared" si="3"/>
        <v>0</v>
      </c>
      <c r="E28" s="457">
        <f t="shared" si="3"/>
        <v>0</v>
      </c>
      <c r="F28" s="457">
        <f t="shared" si="3"/>
        <v>0</v>
      </c>
      <c r="G28" s="457">
        <f t="shared" si="3"/>
        <v>0</v>
      </c>
      <c r="H28" s="457">
        <f t="shared" si="3"/>
        <v>0</v>
      </c>
      <c r="I28" s="457">
        <f>SUM(I24:I27)</f>
        <v>0</v>
      </c>
      <c r="J28" s="457">
        <f>SUM(J25:J27)</f>
        <v>0</v>
      </c>
      <c r="K28" s="457">
        <f>SUM(K25:K27)</f>
        <v>0</v>
      </c>
      <c r="L28" s="457">
        <f>SUM(L25:L27)</f>
        <v>0</v>
      </c>
      <c r="M28" s="457">
        <f>SUM(M25:M27)</f>
        <v>0</v>
      </c>
      <c r="N28" s="627">
        <f>SUM(B28:M28)</f>
        <v>0</v>
      </c>
      <c r="O28" s="28"/>
    </row>
    <row r="29" spans="1:19" ht="10.5" customHeight="1">
      <c r="A29" s="34"/>
      <c r="B29" s="458"/>
      <c r="C29" s="458"/>
      <c r="D29" s="458"/>
      <c r="E29" s="458"/>
      <c r="F29" s="458"/>
      <c r="G29" s="458"/>
      <c r="H29" s="458"/>
      <c r="I29" s="458"/>
      <c r="J29" s="458"/>
      <c r="K29" s="458"/>
      <c r="L29" s="458"/>
      <c r="M29" s="458"/>
      <c r="N29" s="632"/>
    </row>
    <row r="30" spans="1:19" ht="15" customHeight="1">
      <c r="A30" s="20" t="s">
        <v>232</v>
      </c>
      <c r="B30" s="459">
        <v>0</v>
      </c>
      <c r="C30" s="459">
        <v>0</v>
      </c>
      <c r="D30" s="459">
        <v>0</v>
      </c>
      <c r="E30" s="459">
        <v>0</v>
      </c>
      <c r="F30" s="459">
        <v>0</v>
      </c>
      <c r="G30" s="459">
        <v>0</v>
      </c>
      <c r="H30" s="459">
        <v>0</v>
      </c>
      <c r="I30" s="459">
        <v>0</v>
      </c>
      <c r="J30" s="457">
        <v>0</v>
      </c>
      <c r="K30" s="457">
        <v>0</v>
      </c>
      <c r="L30" s="459">
        <v>0</v>
      </c>
      <c r="M30" s="459">
        <v>0</v>
      </c>
      <c r="N30" s="478">
        <f>SUM(B30:M30)</f>
        <v>0</v>
      </c>
      <c r="O30" s="30"/>
      <c r="P30" s="30"/>
      <c r="Q30" s="30"/>
      <c r="R30" s="30"/>
      <c r="S30" s="35"/>
    </row>
    <row r="31" spans="1:19" ht="28.5" customHeight="1" thickBot="1">
      <c r="A31" s="21" t="s">
        <v>233</v>
      </c>
      <c r="B31" s="460">
        <f t="shared" ref="B31:M31" si="4">B14+B18+B22+B28+B30</f>
        <v>2.012</v>
      </c>
      <c r="C31" s="460">
        <f t="shared" si="4"/>
        <v>0</v>
      </c>
      <c r="D31" s="460">
        <f t="shared" si="4"/>
        <v>0</v>
      </c>
      <c r="E31" s="460">
        <f t="shared" si="4"/>
        <v>0</v>
      </c>
      <c r="F31" s="460">
        <f t="shared" si="4"/>
        <v>0</v>
      </c>
      <c r="G31" s="460">
        <f t="shared" si="4"/>
        <v>0</v>
      </c>
      <c r="H31" s="460">
        <f t="shared" si="4"/>
        <v>0</v>
      </c>
      <c r="I31" s="460">
        <f t="shared" si="4"/>
        <v>0</v>
      </c>
      <c r="J31" s="460">
        <f t="shared" si="4"/>
        <v>0</v>
      </c>
      <c r="K31" s="460">
        <f t="shared" si="4"/>
        <v>0</v>
      </c>
      <c r="L31" s="460">
        <f t="shared" si="4"/>
        <v>0</v>
      </c>
      <c r="M31" s="460">
        <f t="shared" si="4"/>
        <v>0</v>
      </c>
      <c r="N31" s="633">
        <f>SUM(B31:M31)</f>
        <v>2.012</v>
      </c>
      <c r="O31" s="28"/>
    </row>
    <row r="32" spans="1:19" ht="12" customHeight="1">
      <c r="A32" s="36"/>
      <c r="B32" s="37"/>
      <c r="C32" s="37"/>
      <c r="D32" s="239"/>
      <c r="E32" s="37"/>
      <c r="F32" s="37"/>
      <c r="G32" s="37"/>
      <c r="H32" s="37"/>
      <c r="I32" s="239"/>
      <c r="J32" s="239"/>
      <c r="K32" s="239"/>
      <c r="L32" s="239"/>
      <c r="M32" s="239"/>
      <c r="N32" s="37"/>
    </row>
    <row r="33" spans="1:14" ht="14">
      <c r="A33" s="452"/>
    </row>
    <row r="34" spans="1:14" ht="12" customHeight="1">
      <c r="A34" s="238" t="s">
        <v>65</v>
      </c>
      <c r="B34" s="28"/>
      <c r="C34" s="28"/>
      <c r="D34" s="28"/>
      <c r="E34" s="28"/>
      <c r="F34" s="28"/>
      <c r="G34" s="28"/>
      <c r="H34" s="28"/>
      <c r="I34" s="28"/>
      <c r="J34" s="28"/>
      <c r="K34" s="28"/>
      <c r="L34" s="28"/>
      <c r="M34" s="28"/>
      <c r="N34" s="28"/>
    </row>
    <row r="35" spans="1:14" ht="14.25" customHeight="1">
      <c r="A35" s="690"/>
      <c r="B35" s="690"/>
      <c r="C35" s="690"/>
      <c r="D35" s="690"/>
      <c r="E35" s="690"/>
      <c r="F35" s="690"/>
      <c r="G35" s="690"/>
      <c r="H35" s="690"/>
      <c r="I35" s="690"/>
      <c r="J35" s="690"/>
      <c r="K35" s="690"/>
      <c r="L35" s="690"/>
      <c r="M35" s="690"/>
      <c r="N35" s="690"/>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B12" sqref="B12"/>
    </sheetView>
  </sheetViews>
  <sheetFormatPr defaultColWidth="9.26953125" defaultRowHeight="12.5"/>
  <cols>
    <col min="1" max="1" width="55.26953125" style="16" customWidth="1"/>
    <col min="2" max="13" width="11.632812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563"/>
    </row>
    <row r="3" spans="1:16" ht="13">
      <c r="E3" s="148" t="s">
        <v>39</v>
      </c>
    </row>
    <row r="4" spans="1:16" ht="13">
      <c r="C4" s="160"/>
      <c r="D4" s="160"/>
      <c r="E4" s="161" t="s">
        <v>234</v>
      </c>
      <c r="F4" s="160"/>
      <c r="G4" s="160"/>
    </row>
    <row r="5" spans="1:16" ht="13">
      <c r="D5" s="160"/>
      <c r="E5" s="151" t="str">
        <f>'Program MW '!H3</f>
        <v>January 2021</v>
      </c>
      <c r="F5" s="160"/>
    </row>
    <row r="6" spans="1:16" ht="13">
      <c r="E6" s="151"/>
    </row>
    <row r="7" spans="1:16" ht="13.5" thickBot="1">
      <c r="A7" s="22"/>
    </row>
    <row r="8" spans="1:16" ht="32.25" customHeight="1" thickBot="1">
      <c r="A8" s="364" t="s">
        <v>193</v>
      </c>
      <c r="B8" s="24" t="s">
        <v>41</v>
      </c>
      <c r="C8" s="24" t="s">
        <v>42</v>
      </c>
      <c r="D8" s="24" t="s">
        <v>43</v>
      </c>
      <c r="E8" s="24" t="s">
        <v>44</v>
      </c>
      <c r="F8" s="24" t="s">
        <v>31</v>
      </c>
      <c r="G8" s="24" t="s">
        <v>45</v>
      </c>
      <c r="H8" s="24" t="s">
        <v>59</v>
      </c>
      <c r="I8" s="24" t="s">
        <v>67</v>
      </c>
      <c r="J8" s="24" t="s">
        <v>68</v>
      </c>
      <c r="K8" s="24" t="s">
        <v>61</v>
      </c>
      <c r="L8" s="24" t="s">
        <v>69</v>
      </c>
      <c r="M8" s="24" t="s">
        <v>62</v>
      </c>
      <c r="N8" s="476" t="s">
        <v>221</v>
      </c>
    </row>
    <row r="9" spans="1:16" ht="26">
      <c r="A9" s="365" t="s">
        <v>235</v>
      </c>
      <c r="B9" s="455"/>
      <c r="C9" s="240"/>
      <c r="M9" s="363"/>
      <c r="N9" s="477"/>
      <c r="P9" s="363"/>
    </row>
    <row r="10" spans="1:16" ht="6" customHeight="1">
      <c r="A10" s="321"/>
      <c r="B10" s="455"/>
      <c r="C10" s="240"/>
      <c r="M10" s="363"/>
      <c r="N10" s="323"/>
    </row>
    <row r="11" spans="1:16" ht="13">
      <c r="A11" s="321" t="s">
        <v>195</v>
      </c>
      <c r="B11" s="455"/>
      <c r="C11" s="240"/>
      <c r="M11" s="363"/>
      <c r="N11" s="323"/>
    </row>
    <row r="12" spans="1:16" ht="13">
      <c r="A12" s="322" t="s">
        <v>288</v>
      </c>
      <c r="B12" s="456">
        <v>0</v>
      </c>
      <c r="C12" s="456">
        <v>0</v>
      </c>
      <c r="D12" s="456">
        <v>0</v>
      </c>
      <c r="E12" s="456">
        <v>0</v>
      </c>
      <c r="F12" s="456">
        <v>0</v>
      </c>
      <c r="G12" s="456">
        <v>0</v>
      </c>
      <c r="H12" s="456">
        <v>0</v>
      </c>
      <c r="I12" s="456">
        <v>0</v>
      </c>
      <c r="J12" s="456">
        <v>0</v>
      </c>
      <c r="K12" s="456">
        <v>0</v>
      </c>
      <c r="L12" s="456">
        <v>0</v>
      </c>
      <c r="M12" s="456">
        <v>0</v>
      </c>
      <c r="N12" s="626">
        <f t="shared" ref="N12:N17" si="0">SUM(B12:M12)</f>
        <v>0</v>
      </c>
    </row>
    <row r="13" spans="1:16" ht="15">
      <c r="A13" s="322" t="s">
        <v>236</v>
      </c>
      <c r="B13" s="456">
        <v>32.534999999999997</v>
      </c>
      <c r="C13" s="456">
        <v>0</v>
      </c>
      <c r="D13" s="456">
        <v>0</v>
      </c>
      <c r="E13" s="456">
        <v>0</v>
      </c>
      <c r="F13" s="456">
        <v>0</v>
      </c>
      <c r="G13" s="456">
        <v>0</v>
      </c>
      <c r="H13" s="456">
        <v>0</v>
      </c>
      <c r="I13" s="456">
        <v>0</v>
      </c>
      <c r="J13" s="456">
        <v>0</v>
      </c>
      <c r="K13" s="456">
        <v>0</v>
      </c>
      <c r="L13" s="456">
        <v>0</v>
      </c>
      <c r="M13" s="456">
        <v>0</v>
      </c>
      <c r="N13" s="626">
        <f t="shared" si="0"/>
        <v>32.534999999999997</v>
      </c>
    </row>
    <row r="14" spans="1:16" ht="15">
      <c r="A14" s="322" t="s">
        <v>296</v>
      </c>
      <c r="B14" s="456">
        <v>-9.125</v>
      </c>
      <c r="C14" s="456">
        <v>0</v>
      </c>
      <c r="D14" s="456">
        <v>0</v>
      </c>
      <c r="E14" s="456">
        <v>0</v>
      </c>
      <c r="F14" s="456">
        <v>0</v>
      </c>
      <c r="G14" s="456">
        <v>0</v>
      </c>
      <c r="H14" s="456">
        <v>0</v>
      </c>
      <c r="I14" s="456">
        <v>0</v>
      </c>
      <c r="J14" s="456">
        <v>0</v>
      </c>
      <c r="K14" s="456">
        <v>0</v>
      </c>
      <c r="L14" s="456">
        <v>0</v>
      </c>
      <c r="M14" s="456">
        <v>0</v>
      </c>
      <c r="N14" s="626">
        <f t="shared" si="0"/>
        <v>-9.125</v>
      </c>
    </row>
    <row r="15" spans="1:16" ht="15">
      <c r="A15" s="322" t="s">
        <v>237</v>
      </c>
      <c r="B15" s="456">
        <v>0</v>
      </c>
      <c r="C15" s="456">
        <v>0</v>
      </c>
      <c r="D15" s="456">
        <v>0</v>
      </c>
      <c r="E15" s="456">
        <v>0</v>
      </c>
      <c r="F15" s="456">
        <v>0</v>
      </c>
      <c r="G15" s="456">
        <v>0</v>
      </c>
      <c r="H15" s="456">
        <v>0</v>
      </c>
      <c r="I15" s="456">
        <v>0</v>
      </c>
      <c r="J15" s="456">
        <v>0</v>
      </c>
      <c r="K15" s="456">
        <v>0</v>
      </c>
      <c r="L15" s="456">
        <v>0</v>
      </c>
      <c r="M15" s="456">
        <v>0</v>
      </c>
      <c r="N15" s="626">
        <f t="shared" si="0"/>
        <v>0</v>
      </c>
    </row>
    <row r="16" spans="1:16" ht="15">
      <c r="A16" s="366" t="s">
        <v>238</v>
      </c>
      <c r="B16" s="456">
        <v>1.7729999999999999</v>
      </c>
      <c r="C16" s="456">
        <v>0</v>
      </c>
      <c r="D16" s="456">
        <v>0</v>
      </c>
      <c r="E16" s="456">
        <v>0</v>
      </c>
      <c r="F16" s="456">
        <v>0</v>
      </c>
      <c r="G16" s="456">
        <v>0</v>
      </c>
      <c r="H16" s="456">
        <v>0</v>
      </c>
      <c r="I16" s="456">
        <v>0</v>
      </c>
      <c r="J16" s="456">
        <v>0</v>
      </c>
      <c r="K16" s="456">
        <v>0</v>
      </c>
      <c r="L16" s="456">
        <v>0</v>
      </c>
      <c r="M16" s="456">
        <v>0</v>
      </c>
      <c r="N16" s="626">
        <f t="shared" si="0"/>
        <v>1.7729999999999999</v>
      </c>
      <c r="O16" s="28"/>
    </row>
    <row r="17" spans="1:16" ht="13">
      <c r="A17" s="696" t="s">
        <v>225</v>
      </c>
      <c r="B17" s="692">
        <f t="shared" ref="B17:M17" si="1">SUM(B12:B16)</f>
        <v>25.182999999999996</v>
      </c>
      <c r="C17" s="457">
        <f t="shared" si="1"/>
        <v>0</v>
      </c>
      <c r="D17" s="457">
        <f t="shared" si="1"/>
        <v>0</v>
      </c>
      <c r="E17" s="457">
        <f t="shared" si="1"/>
        <v>0</v>
      </c>
      <c r="F17" s="457">
        <f t="shared" si="1"/>
        <v>0</v>
      </c>
      <c r="G17" s="457">
        <f t="shared" si="1"/>
        <v>0</v>
      </c>
      <c r="H17" s="457">
        <f t="shared" si="1"/>
        <v>0</v>
      </c>
      <c r="I17" s="457">
        <f t="shared" si="1"/>
        <v>0</v>
      </c>
      <c r="J17" s="457">
        <f t="shared" si="1"/>
        <v>0</v>
      </c>
      <c r="K17" s="457">
        <f t="shared" si="1"/>
        <v>0</v>
      </c>
      <c r="L17" s="457">
        <f t="shared" si="1"/>
        <v>0</v>
      </c>
      <c r="M17" s="457">
        <f t="shared" si="1"/>
        <v>0</v>
      </c>
      <c r="N17" s="627">
        <f t="shared" si="0"/>
        <v>25.182999999999996</v>
      </c>
    </row>
    <row r="18" spans="1:16">
      <c r="A18" s="323"/>
      <c r="B18" s="456"/>
      <c r="C18" s="30"/>
      <c r="D18" s="30"/>
      <c r="E18" s="30"/>
      <c r="F18" s="30"/>
      <c r="G18" s="30"/>
      <c r="H18" s="30"/>
      <c r="I18" s="30"/>
      <c r="J18" s="30" t="s">
        <v>56</v>
      </c>
      <c r="K18" s="30"/>
      <c r="L18" s="30"/>
      <c r="M18" s="456"/>
      <c r="N18" s="626"/>
      <c r="P18" s="359"/>
    </row>
    <row r="19" spans="1:16" ht="13">
      <c r="A19" s="321" t="s">
        <v>239</v>
      </c>
      <c r="B19" s="456"/>
      <c r="C19" s="30"/>
      <c r="D19" s="30"/>
      <c r="E19" s="30"/>
      <c r="F19" s="30"/>
      <c r="G19" s="30"/>
      <c r="H19" s="30"/>
      <c r="I19" s="30"/>
      <c r="J19" s="30"/>
      <c r="K19" s="30"/>
      <c r="L19" s="30"/>
      <c r="M19" s="456"/>
      <c r="N19" s="626"/>
      <c r="P19" s="359"/>
    </row>
    <row r="20" spans="1:16" ht="13">
      <c r="A20" s="322" t="s">
        <v>240</v>
      </c>
      <c r="B20" s="456">
        <v>43.359000000000002</v>
      </c>
      <c r="C20" s="30">
        <v>0</v>
      </c>
      <c r="D20" s="30">
        <v>0</v>
      </c>
      <c r="E20" s="30">
        <v>0</v>
      </c>
      <c r="F20" s="30">
        <v>0</v>
      </c>
      <c r="G20" s="30">
        <v>0</v>
      </c>
      <c r="H20" s="30">
        <v>0</v>
      </c>
      <c r="I20" s="30">
        <v>0</v>
      </c>
      <c r="J20" s="30">
        <v>0</v>
      </c>
      <c r="K20" s="30">
        <v>0</v>
      </c>
      <c r="L20" s="30">
        <v>0</v>
      </c>
      <c r="M20" s="456">
        <v>0</v>
      </c>
      <c r="N20" s="626">
        <f>SUM(B20:M20)</f>
        <v>43.359000000000002</v>
      </c>
      <c r="P20" s="359"/>
    </row>
    <row r="21" spans="1:16" ht="13">
      <c r="A21" s="322" t="s">
        <v>241</v>
      </c>
      <c r="B21" s="456">
        <v>18.228999999999999</v>
      </c>
      <c r="C21" s="30">
        <v>0</v>
      </c>
      <c r="D21" s="30">
        <v>0</v>
      </c>
      <c r="E21" s="30">
        <v>0</v>
      </c>
      <c r="F21" s="30">
        <v>0</v>
      </c>
      <c r="G21" s="30">
        <v>0</v>
      </c>
      <c r="H21" s="30">
        <v>0</v>
      </c>
      <c r="I21" s="30">
        <v>0</v>
      </c>
      <c r="J21" s="30">
        <v>0</v>
      </c>
      <c r="K21" s="30">
        <v>0</v>
      </c>
      <c r="L21" s="30">
        <v>0</v>
      </c>
      <c r="M21" s="456">
        <v>0</v>
      </c>
      <c r="N21" s="626">
        <f t="shared" ref="N21:N22" si="2">SUM(B21:M21)</f>
        <v>18.228999999999999</v>
      </c>
      <c r="P21" s="359"/>
    </row>
    <row r="22" spans="1:16" ht="13">
      <c r="A22" s="322" t="s">
        <v>242</v>
      </c>
      <c r="B22" s="456">
        <v>1.7729999999999999</v>
      </c>
      <c r="C22" s="30">
        <v>0</v>
      </c>
      <c r="D22" s="30">
        <v>0</v>
      </c>
      <c r="E22" s="30">
        <v>0</v>
      </c>
      <c r="F22" s="30">
        <v>0</v>
      </c>
      <c r="G22" s="30">
        <v>0</v>
      </c>
      <c r="H22" s="30">
        <v>0</v>
      </c>
      <c r="I22" s="30">
        <v>0</v>
      </c>
      <c r="J22" s="30">
        <v>0</v>
      </c>
      <c r="K22" s="30">
        <v>0</v>
      </c>
      <c r="L22" s="30">
        <v>0</v>
      </c>
      <c r="M22" s="456">
        <v>0</v>
      </c>
      <c r="N22" s="626">
        <f t="shared" si="2"/>
        <v>1.7729999999999999</v>
      </c>
      <c r="P22" s="359"/>
    </row>
    <row r="23" spans="1:16" ht="13">
      <c r="A23" s="324" t="s">
        <v>243</v>
      </c>
      <c r="B23" s="456">
        <v>5.0369999999999999</v>
      </c>
      <c r="C23" s="30">
        <v>0</v>
      </c>
      <c r="D23" s="30">
        <v>0</v>
      </c>
      <c r="E23" s="30">
        <v>0</v>
      </c>
      <c r="F23" s="30">
        <v>0</v>
      </c>
      <c r="G23" s="30">
        <v>0</v>
      </c>
      <c r="H23" s="30">
        <v>0</v>
      </c>
      <c r="I23" s="30">
        <v>0</v>
      </c>
      <c r="J23" s="30">
        <v>0</v>
      </c>
      <c r="K23" s="30">
        <v>0</v>
      </c>
      <c r="L23" s="30">
        <v>0</v>
      </c>
      <c r="M23" s="456">
        <v>0</v>
      </c>
      <c r="N23" s="626">
        <f>SUM(B23:M23)</f>
        <v>5.0369999999999999</v>
      </c>
      <c r="P23" s="359"/>
    </row>
    <row r="24" spans="1:16" ht="13">
      <c r="A24" s="697" t="s">
        <v>228</v>
      </c>
      <c r="B24" s="692">
        <f>SUM(B20:B23)</f>
        <v>68.39800000000001</v>
      </c>
      <c r="C24" s="457">
        <f t="shared" ref="C24:M24" si="3">SUM(C20:C23)</f>
        <v>0</v>
      </c>
      <c r="D24" s="457">
        <f t="shared" si="3"/>
        <v>0</v>
      </c>
      <c r="E24" s="457">
        <f t="shared" si="3"/>
        <v>0</v>
      </c>
      <c r="F24" s="457">
        <f t="shared" si="3"/>
        <v>0</v>
      </c>
      <c r="G24" s="457">
        <f t="shared" si="3"/>
        <v>0</v>
      </c>
      <c r="H24" s="457">
        <f t="shared" si="3"/>
        <v>0</v>
      </c>
      <c r="I24" s="457">
        <f t="shared" si="3"/>
        <v>0</v>
      </c>
      <c r="J24" s="457">
        <f t="shared" si="3"/>
        <v>0</v>
      </c>
      <c r="K24" s="457">
        <f t="shared" si="3"/>
        <v>0</v>
      </c>
      <c r="L24" s="457">
        <f t="shared" si="3"/>
        <v>0</v>
      </c>
      <c r="M24" s="457">
        <f t="shared" si="3"/>
        <v>0</v>
      </c>
      <c r="N24" s="627">
        <f>SUM(B24:M24)</f>
        <v>68.39800000000001</v>
      </c>
      <c r="P24" s="359"/>
    </row>
    <row r="25" spans="1:16" ht="13">
      <c r="A25" s="324"/>
      <c r="B25" s="456"/>
      <c r="C25" s="30"/>
      <c r="D25" s="30"/>
      <c r="E25" s="30"/>
      <c r="F25" s="30"/>
      <c r="G25" s="30"/>
      <c r="H25" s="30"/>
      <c r="I25" s="30"/>
      <c r="J25" s="30"/>
      <c r="K25" s="30"/>
      <c r="L25" s="30"/>
      <c r="M25" s="456"/>
      <c r="N25" s="626"/>
      <c r="P25" s="359"/>
    </row>
    <row r="26" spans="1:16" ht="13">
      <c r="A26" s="321"/>
      <c r="B26" s="456" t="s">
        <v>56</v>
      </c>
      <c r="C26" s="30" t="s">
        <v>56</v>
      </c>
      <c r="D26" s="30" t="s">
        <v>56</v>
      </c>
      <c r="E26" s="30"/>
      <c r="F26" s="30" t="s">
        <v>56</v>
      </c>
      <c r="G26" s="30"/>
      <c r="H26" s="629" t="s">
        <v>56</v>
      </c>
      <c r="I26" s="629" t="s">
        <v>56</v>
      </c>
      <c r="J26" s="629" t="s">
        <v>56</v>
      </c>
      <c r="K26" s="629" t="s">
        <v>56</v>
      </c>
      <c r="L26" s="629" t="s">
        <v>56</v>
      </c>
      <c r="M26" s="630" t="s">
        <v>56</v>
      </c>
      <c r="N26" s="626" t="s">
        <v>56</v>
      </c>
      <c r="P26" s="359"/>
    </row>
    <row r="27" spans="1:16" ht="13">
      <c r="A27" s="321" t="s">
        <v>229</v>
      </c>
      <c r="B27" s="456">
        <v>0</v>
      </c>
      <c r="C27" s="30">
        <v>0</v>
      </c>
      <c r="D27" s="30">
        <v>0</v>
      </c>
      <c r="E27" s="30">
        <v>0</v>
      </c>
      <c r="F27" s="30">
        <v>0</v>
      </c>
      <c r="G27" s="30">
        <v>0</v>
      </c>
      <c r="H27" s="629">
        <v>0</v>
      </c>
      <c r="I27" s="629">
        <v>0</v>
      </c>
      <c r="J27" s="629">
        <v>0</v>
      </c>
      <c r="K27" s="629">
        <v>0</v>
      </c>
      <c r="L27" s="629">
        <v>0</v>
      </c>
      <c r="M27" s="630">
        <v>0</v>
      </c>
      <c r="N27" s="626">
        <f>SUM(B27:M27)</f>
        <v>0</v>
      </c>
      <c r="P27" s="359"/>
    </row>
    <row r="28" spans="1:16" ht="13">
      <c r="A28" s="698" t="s">
        <v>231</v>
      </c>
      <c r="B28" s="692">
        <f t="shared" ref="B28:H28" si="4">SUM(B27:B27)</f>
        <v>0</v>
      </c>
      <c r="C28" s="457">
        <f t="shared" si="4"/>
        <v>0</v>
      </c>
      <c r="D28" s="457">
        <f t="shared" si="4"/>
        <v>0</v>
      </c>
      <c r="E28" s="457">
        <f>SUM(E27:E27)</f>
        <v>0</v>
      </c>
      <c r="F28" s="457">
        <f t="shared" si="4"/>
        <v>0</v>
      </c>
      <c r="G28" s="457">
        <f t="shared" si="4"/>
        <v>0</v>
      </c>
      <c r="H28" s="457">
        <f t="shared" si="4"/>
        <v>0</v>
      </c>
      <c r="I28" s="457">
        <f>SUM(I27:I27)</f>
        <v>0</v>
      </c>
      <c r="J28" s="457">
        <f>SUM(J27:J27)</f>
        <v>0</v>
      </c>
      <c r="K28" s="457">
        <f>SUM(K27:K27)</f>
        <v>0</v>
      </c>
      <c r="L28" s="457">
        <f>SUM(L27:L27)</f>
        <v>0</v>
      </c>
      <c r="M28" s="457">
        <f>SUM(M27:M27)</f>
        <v>0</v>
      </c>
      <c r="N28" s="627">
        <f>SUM(B28:M28)</f>
        <v>0</v>
      </c>
      <c r="P28" s="359"/>
    </row>
    <row r="29" spans="1:16" ht="13">
      <c r="A29" s="325"/>
      <c r="B29" s="456"/>
      <c r="C29" s="30"/>
      <c r="D29" s="30"/>
      <c r="E29" s="30"/>
      <c r="F29" s="30"/>
      <c r="G29" s="458"/>
      <c r="H29" s="30"/>
      <c r="I29" s="458"/>
      <c r="J29" s="30"/>
      <c r="K29" s="30"/>
      <c r="L29" s="458"/>
      <c r="M29" s="456"/>
      <c r="N29" s="626"/>
    </row>
    <row r="30" spans="1:16" ht="13">
      <c r="A30" s="326"/>
      <c r="B30" s="456"/>
      <c r="C30" s="30"/>
      <c r="D30" s="30"/>
      <c r="E30" s="30"/>
      <c r="F30" s="30"/>
      <c r="G30" s="30"/>
      <c r="H30" s="30"/>
      <c r="I30" s="30"/>
      <c r="J30" s="30"/>
      <c r="K30" s="30"/>
      <c r="L30" s="30"/>
      <c r="M30" s="456"/>
      <c r="N30" s="626"/>
    </row>
    <row r="31" spans="1:16" ht="13">
      <c r="A31" s="326" t="s">
        <v>211</v>
      </c>
      <c r="B31" s="456">
        <v>0</v>
      </c>
      <c r="C31" s="30">
        <v>0</v>
      </c>
      <c r="D31" s="30">
        <v>0</v>
      </c>
      <c r="E31" s="30">
        <v>0</v>
      </c>
      <c r="F31" s="30">
        <v>0</v>
      </c>
      <c r="G31" s="30">
        <v>0</v>
      </c>
      <c r="H31" s="629">
        <v>0</v>
      </c>
      <c r="I31" s="629">
        <v>0</v>
      </c>
      <c r="J31" s="629">
        <v>0</v>
      </c>
      <c r="K31" s="629">
        <v>0</v>
      </c>
      <c r="L31" s="629">
        <v>0</v>
      </c>
      <c r="M31" s="630">
        <v>0</v>
      </c>
      <c r="N31" s="626">
        <f>SUM(B31:M31)</f>
        <v>0</v>
      </c>
    </row>
    <row r="32" spans="1:16">
      <c r="A32" s="323"/>
      <c r="B32" s="456"/>
      <c r="C32" s="30"/>
      <c r="D32" s="30"/>
      <c r="E32" s="30"/>
      <c r="F32" s="30"/>
      <c r="G32" s="30"/>
      <c r="H32" s="629"/>
      <c r="I32" s="629"/>
      <c r="J32" s="629"/>
      <c r="K32" s="629"/>
      <c r="L32" s="629"/>
      <c r="M32" s="631"/>
      <c r="N32" s="626" t="s">
        <v>56</v>
      </c>
    </row>
    <row r="33" spans="1:19" ht="13">
      <c r="A33" s="699" t="s">
        <v>217</v>
      </c>
      <c r="B33" s="692">
        <f t="shared" ref="B33:G33" si="5">SUM(B31:B32)</f>
        <v>0</v>
      </c>
      <c r="C33" s="457">
        <f t="shared" si="5"/>
        <v>0</v>
      </c>
      <c r="D33" s="457">
        <f t="shared" si="5"/>
        <v>0</v>
      </c>
      <c r="E33" s="457">
        <f t="shared" si="5"/>
        <v>0</v>
      </c>
      <c r="F33" s="457">
        <f t="shared" si="5"/>
        <v>0</v>
      </c>
      <c r="G33" s="457">
        <f t="shared" si="5"/>
        <v>0</v>
      </c>
      <c r="H33" s="457">
        <f>SUM(H30:H32)</f>
        <v>0</v>
      </c>
      <c r="I33" s="457">
        <f>SUM(I30:I32)</f>
        <v>0</v>
      </c>
      <c r="J33" s="457">
        <f>SUM(J31:J32)</f>
        <v>0</v>
      </c>
      <c r="K33" s="457">
        <f>SUM(K31:K32)</f>
        <v>0</v>
      </c>
      <c r="L33" s="457">
        <f>SUM(L31:L32)</f>
        <v>0</v>
      </c>
      <c r="M33" s="457">
        <f>SUM(M31:M32)</f>
        <v>0</v>
      </c>
      <c r="N33" s="627">
        <f>SUM(B33:M33)</f>
        <v>0</v>
      </c>
      <c r="O33" s="28"/>
    </row>
    <row r="34" spans="1:19" ht="10.5" customHeight="1">
      <c r="A34" s="700"/>
      <c r="B34" s="693"/>
      <c r="C34" s="458"/>
      <c r="D34" s="458"/>
      <c r="E34" s="458"/>
      <c r="F34" s="458"/>
      <c r="G34" s="458"/>
      <c r="H34" s="458"/>
      <c r="I34" s="458"/>
      <c r="J34" s="458"/>
      <c r="K34" s="458"/>
      <c r="L34" s="458"/>
      <c r="M34" s="458"/>
      <c r="N34" s="632"/>
    </row>
    <row r="35" spans="1:19" ht="15" customHeight="1">
      <c r="A35" s="697" t="s">
        <v>232</v>
      </c>
      <c r="B35" s="694">
        <v>0</v>
      </c>
      <c r="C35" s="459">
        <v>0</v>
      </c>
      <c r="D35" s="459">
        <v>0</v>
      </c>
      <c r="E35" s="459">
        <v>0</v>
      </c>
      <c r="F35" s="459">
        <v>0</v>
      </c>
      <c r="G35" s="459">
        <v>0</v>
      </c>
      <c r="H35" s="459">
        <v>0</v>
      </c>
      <c r="I35" s="459">
        <v>0</v>
      </c>
      <c r="J35" s="457">
        <v>0</v>
      </c>
      <c r="K35" s="457">
        <v>0</v>
      </c>
      <c r="L35" s="459">
        <v>0</v>
      </c>
      <c r="M35" s="459">
        <v>0</v>
      </c>
      <c r="N35" s="478">
        <f>SUM(B35:M35)</f>
        <v>0</v>
      </c>
      <c r="O35" s="30"/>
      <c r="P35" s="30"/>
      <c r="Q35" s="30"/>
      <c r="R35" s="30"/>
      <c r="S35" s="35"/>
    </row>
    <row r="36" spans="1:19" ht="15" customHeight="1" thickBot="1">
      <c r="A36" s="327" t="s">
        <v>244</v>
      </c>
      <c r="B36" s="460">
        <f t="shared" ref="B36:L36" si="6">B17+B24+B28+B33+B35</f>
        <v>93.581000000000003</v>
      </c>
      <c r="C36" s="460">
        <f t="shared" si="6"/>
        <v>0</v>
      </c>
      <c r="D36" s="460">
        <f t="shared" si="6"/>
        <v>0</v>
      </c>
      <c r="E36" s="460">
        <f t="shared" si="6"/>
        <v>0</v>
      </c>
      <c r="F36" s="460">
        <f t="shared" si="6"/>
        <v>0</v>
      </c>
      <c r="G36" s="460">
        <f t="shared" si="6"/>
        <v>0</v>
      </c>
      <c r="H36" s="460">
        <f>H17+H24+H28+H33+H35</f>
        <v>0</v>
      </c>
      <c r="I36" s="460">
        <f t="shared" si="6"/>
        <v>0</v>
      </c>
      <c r="J36" s="460">
        <f t="shared" si="6"/>
        <v>0</v>
      </c>
      <c r="K36" s="460">
        <f t="shared" si="6"/>
        <v>0</v>
      </c>
      <c r="L36" s="460">
        <f t="shared" si="6"/>
        <v>0</v>
      </c>
      <c r="M36" s="460">
        <f>M17+M24+M28+M33+M35</f>
        <v>0</v>
      </c>
      <c r="N36" s="633">
        <f>SUM(B36:M36)</f>
        <v>93.581000000000003</v>
      </c>
      <c r="O36" s="30"/>
      <c r="P36" s="30"/>
      <c r="Q36" s="30"/>
      <c r="R36" s="30"/>
      <c r="S36" s="35"/>
    </row>
    <row r="37" spans="1:19" s="160" customFormat="1" ht="26.25" customHeight="1" thickBot="1">
      <c r="A37" s="623" t="s">
        <v>245</v>
      </c>
      <c r="B37" s="695">
        <f>B36+0.05</f>
        <v>93.631</v>
      </c>
      <c r="C37" s="624">
        <v>0</v>
      </c>
      <c r="D37" s="624">
        <v>0</v>
      </c>
      <c r="E37" s="624">
        <v>0</v>
      </c>
      <c r="F37" s="624">
        <v>0</v>
      </c>
      <c r="G37" s="624">
        <v>0</v>
      </c>
      <c r="H37" s="624">
        <v>0</v>
      </c>
      <c r="I37" s="624">
        <v>0</v>
      </c>
      <c r="J37" s="624">
        <v>0</v>
      </c>
      <c r="K37" s="624">
        <v>0</v>
      </c>
      <c r="L37" s="624">
        <v>0</v>
      </c>
      <c r="M37" s="624">
        <v>0</v>
      </c>
      <c r="N37" s="634">
        <f>SUM(B37:M37)</f>
        <v>93.631</v>
      </c>
      <c r="O37" s="625"/>
    </row>
    <row r="38" spans="1:19" ht="13">
      <c r="A38" s="36"/>
      <c r="B38" s="37"/>
      <c r="C38" s="37"/>
      <c r="D38" s="37"/>
      <c r="E38" s="37"/>
      <c r="F38" s="37"/>
      <c r="G38" s="37"/>
      <c r="H38" s="37"/>
      <c r="I38" s="37"/>
      <c r="J38" s="37"/>
      <c r="K38" s="37"/>
      <c r="L38" s="37"/>
      <c r="M38" s="37"/>
      <c r="N38" s="37"/>
    </row>
    <row r="39" spans="1:19" ht="14">
      <c r="A39" s="430" t="s">
        <v>63</v>
      </c>
      <c r="B39" s="429"/>
      <c r="C39" s="429"/>
      <c r="D39" s="429"/>
      <c r="E39" s="429"/>
      <c r="F39" s="429"/>
      <c r="G39" s="429"/>
      <c r="H39" s="429"/>
      <c r="I39" s="429"/>
      <c r="J39" s="429"/>
      <c r="K39" s="429"/>
      <c r="L39" s="429"/>
      <c r="M39" s="429"/>
      <c r="N39" s="429"/>
    </row>
    <row r="40" spans="1:19" ht="16.5">
      <c r="A40" s="614" t="s">
        <v>289</v>
      </c>
      <c r="B40" s="615"/>
      <c r="C40" s="615"/>
      <c r="D40" s="615"/>
      <c r="E40" s="615"/>
      <c r="F40" s="615"/>
      <c r="G40" s="615"/>
      <c r="H40" s="615"/>
      <c r="I40" s="615"/>
      <c r="J40" s="615"/>
      <c r="K40" s="615"/>
      <c r="L40" s="615"/>
      <c r="M40" s="615"/>
      <c r="N40" s="615"/>
    </row>
    <row r="41" spans="1:19" ht="15" customHeight="1">
      <c r="A41" s="691" t="s">
        <v>290</v>
      </c>
      <c r="B41" s="691"/>
      <c r="C41" s="691"/>
      <c r="D41" s="691"/>
      <c r="E41" s="691"/>
      <c r="F41" s="691"/>
      <c r="G41" s="691"/>
      <c r="H41" s="691"/>
      <c r="I41" s="691"/>
      <c r="J41" s="691"/>
      <c r="K41" s="691"/>
      <c r="L41" s="691"/>
      <c r="M41" s="691"/>
      <c r="N41" s="691"/>
    </row>
    <row r="42" spans="1:19" ht="15" customHeight="1">
      <c r="A42" s="616" t="s">
        <v>291</v>
      </c>
      <c r="B42" s="617"/>
      <c r="C42" s="617"/>
      <c r="D42" s="617"/>
      <c r="E42" s="617"/>
      <c r="F42" s="617"/>
      <c r="G42" s="617"/>
      <c r="H42" s="617"/>
      <c r="I42" s="617"/>
      <c r="J42" s="617"/>
      <c r="K42" s="617"/>
      <c r="L42" s="617"/>
      <c r="M42" s="617"/>
      <c r="N42" s="617"/>
    </row>
    <row r="43" spans="1:19" ht="15" customHeight="1">
      <c r="A43" s="618" t="s">
        <v>297</v>
      </c>
      <c r="B43" s="617"/>
      <c r="C43" s="617"/>
      <c r="D43" s="617"/>
      <c r="E43" s="617"/>
      <c r="F43" s="617"/>
      <c r="G43" s="617"/>
      <c r="H43" s="617"/>
      <c r="I43" s="617"/>
      <c r="J43" s="617"/>
      <c r="K43" s="617"/>
      <c r="L43" s="617"/>
      <c r="M43" s="617"/>
      <c r="N43" s="617"/>
    </row>
    <row r="44" spans="1:19" ht="15" customHeight="1">
      <c r="A44" s="581"/>
      <c r="B44" s="580"/>
      <c r="C44" s="580"/>
      <c r="D44" s="580"/>
      <c r="E44" s="580"/>
      <c r="F44" s="580"/>
      <c r="G44" s="580"/>
      <c r="H44" s="580"/>
      <c r="I44" s="580"/>
      <c r="J44" s="580"/>
      <c r="K44" s="580"/>
      <c r="L44" s="580"/>
      <c r="M44" s="580"/>
      <c r="N44" s="580"/>
    </row>
    <row r="45" spans="1:19" ht="14.5">
      <c r="A45" s="238" t="s">
        <v>65</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4"/>
  <sheetViews>
    <sheetView showGridLines="0" showRuler="0" zoomScaleNormal="100" zoomScaleSheetLayoutView="80" workbookViewId="0">
      <selection activeCell="A15" sqref="A15"/>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249</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34"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292</v>
      </c>
      <c r="G7" s="168" t="s">
        <v>293</v>
      </c>
      <c r="H7" s="177" t="s">
        <v>47</v>
      </c>
      <c r="I7" s="178" t="s">
        <v>292</v>
      </c>
      <c r="J7" s="168" t="s">
        <v>293</v>
      </c>
      <c r="K7" s="177" t="s">
        <v>47</v>
      </c>
      <c r="L7" s="178" t="s">
        <v>292</v>
      </c>
      <c r="M7" s="168" t="s">
        <v>293</v>
      </c>
      <c r="N7" s="177" t="s">
        <v>47</v>
      </c>
      <c r="O7" s="178" t="s">
        <v>292</v>
      </c>
      <c r="P7" s="168" t="s">
        <v>293</v>
      </c>
      <c r="Q7" s="177" t="s">
        <v>47</v>
      </c>
      <c r="R7" s="178" t="s">
        <v>292</v>
      </c>
      <c r="S7" s="168" t="s">
        <v>293</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5">
        <f>B9*(INDEX('Ex ante LI &amp; Eligibility Stats'!$A:$M,MATCH('Program MW '!$A9,'Ex ante LI &amp; Eligibility Stats'!$A:$A,0),MATCH('Program MW '!C$6,'Ex ante LI &amp; Eligibility Stats'!$A$8:$M$8,0))/1000)</f>
        <v>0.591757080078125</v>
      </c>
      <c r="D9" s="331">
        <f>B9*(INDEX('Ex post LI &amp; Eligibility Stats'!$A:$N,MATCH($A9,'Ex post LI &amp; Eligibility Stats'!$A:$A,0),MATCH('Program MW '!C$6,'Ex post LI &amp; Eligibility Stats'!$A$8:$N$8,0))/1000)</f>
        <v>0.42431999999999997</v>
      </c>
      <c r="E9" s="14">
        <v>0</v>
      </c>
      <c r="F9" s="331">
        <f>E9*(INDEX('Ex ante LI &amp; Eligibility Stats'!$A:$M,MATCH('Program MW '!$A9,'Ex ante LI &amp; Eligibility Stats'!$A:$A,0),MATCH('Program MW '!F$6,'Ex ante LI &amp; Eligibility Stats'!$A$8:$M$8,0))/1000)</f>
        <v>0</v>
      </c>
      <c r="G9" s="331">
        <f>E9*(INDEX('Ex post LI &amp; Eligibility Stats'!$A:$N,MATCH($A9,'Ex post LI &amp; Eligibility Stats'!$A:$A,0),MATCH('Program MW '!F$6,'Ex post LI &amp; Eligibility Stats'!$A$8:$N$8,0))/1000)</f>
        <v>0</v>
      </c>
      <c r="H9" s="14">
        <v>0</v>
      </c>
      <c r="I9" s="331">
        <f>H9*(INDEX('Ex ante LI &amp; Eligibility Stats'!$A:$M,MATCH('Program MW '!$A9,'Ex ante LI &amp; Eligibility Stats'!$A:$A,0),MATCH('Program MW '!I$6,'Ex ante LI &amp; Eligibility Stats'!$A$8:$M$8,0))/1000)</f>
        <v>0</v>
      </c>
      <c r="J9" s="331">
        <f>H9*(INDEX('Ex post LI &amp; Eligibility Stats'!$A:$N,MATCH($A9,'Ex post LI &amp; Eligibility Stats'!$A:$A,0),MATCH('Program MW '!I$6,'Ex post LI &amp; Eligibility Stats'!$A$8:$N$8,0))/1000)</f>
        <v>0</v>
      </c>
      <c r="K9" s="14">
        <v>0</v>
      </c>
      <c r="L9" s="331">
        <f>K9*(INDEX('Ex ante LI &amp; Eligibility Stats'!$A:$M,MATCH('Program MW '!$A9,'Ex ante LI &amp; Eligibility Stats'!$A:$A,0),MATCH('Program MW '!L$6,'Ex ante LI &amp; Eligibility Stats'!$A$8:$M$8,0))/1000)</f>
        <v>0</v>
      </c>
      <c r="M9" s="331">
        <f>K9*(INDEX('Ex post LI &amp; Eligibility Stats'!$A:$N,MATCH($A9,'Ex post LI &amp; Eligibility Stats'!$A:$A,0),MATCH('Program MW '!L$6,'Ex post LI &amp; Eligibility Stats'!$A$8:$N$8,0))/1000)</f>
        <v>0</v>
      </c>
      <c r="N9" s="14">
        <v>0</v>
      </c>
      <c r="O9" s="331">
        <f>N9*(INDEX('Ex ante LI &amp; Eligibility Stats'!$A:$M,MATCH('Program MW '!$A9,'Ex ante LI &amp; Eligibility Stats'!$A:$A,0),MATCH('Program MW '!O$6,'Ex ante LI &amp; Eligibility Stats'!$A$8:$M$8,0))/1000)</f>
        <v>0</v>
      </c>
      <c r="P9" s="331">
        <f>N9*(INDEX('Ex post LI &amp; Eligibility Stats'!$A:$N,MATCH($A9,'Ex post LI &amp; Eligibility Stats'!$A:$A,0),MATCH('Program MW '!O$6,'Ex post LI &amp; Eligibility Stats'!$A$8:$N$8,0))/1000)</f>
        <v>0</v>
      </c>
      <c r="Q9" s="124">
        <v>0</v>
      </c>
      <c r="R9" s="331">
        <f>Q9*(INDEX('Ex ante LI &amp; Eligibility Stats'!$A:$M,MATCH('Program MW '!$A9,'Ex ante LI &amp; Eligibility Stats'!$A:$A,0),MATCH('Program MW '!R$6,'Ex ante LI &amp; Eligibility Stats'!$A$8:$M$8,0))/1000)</f>
        <v>0</v>
      </c>
      <c r="S9" s="331">
        <f>Q9*(INDEX('Ex post LI &amp; Eligibility Stats'!$A:$N,MATCH($A9,'Ex post LI &amp; Eligibility Stats'!$A:$A,0),MATCH('Program MW '!R$6,'Ex post LI &amp; Eligibility Stats'!$A$8:$N$8,0))/1000)</f>
        <v>0</v>
      </c>
      <c r="T9" s="4">
        <v>5276</v>
      </c>
    </row>
    <row r="10" spans="1:31" ht="13.5" thickBot="1">
      <c r="A10" s="184" t="s">
        <v>52</v>
      </c>
      <c r="B10" s="154">
        <f t="shared" ref="B10:Q10" si="0">SUM(B9:B9)</f>
        <v>4</v>
      </c>
      <c r="C10" s="170">
        <f t="shared" si="0"/>
        <v>0.591757080078125</v>
      </c>
      <c r="D10" s="170">
        <f t="shared" si="0"/>
        <v>0.42431999999999997</v>
      </c>
      <c r="E10" s="1">
        <f t="shared" si="0"/>
        <v>0</v>
      </c>
      <c r="F10" s="229">
        <f t="shared" si="0"/>
        <v>0</v>
      </c>
      <c r="G10" s="229">
        <f t="shared" si="0"/>
        <v>0</v>
      </c>
      <c r="H10" s="1">
        <f t="shared" si="0"/>
        <v>0</v>
      </c>
      <c r="I10" s="229">
        <f t="shared" si="0"/>
        <v>0</v>
      </c>
      <c r="J10" s="229">
        <f t="shared" si="0"/>
        <v>0</v>
      </c>
      <c r="K10" s="1">
        <f>SUM(K9)</f>
        <v>0</v>
      </c>
      <c r="L10" s="229">
        <f t="shared" ref="L10:M10" si="1">SUM(L9:L9)</f>
        <v>0</v>
      </c>
      <c r="M10" s="229">
        <f t="shared" si="1"/>
        <v>0</v>
      </c>
      <c r="N10" s="1">
        <f t="shared" si="0"/>
        <v>0</v>
      </c>
      <c r="O10" s="229">
        <f t="shared" si="0"/>
        <v>0</v>
      </c>
      <c r="P10" s="229">
        <f t="shared" si="0"/>
        <v>0</v>
      </c>
      <c r="Q10" s="125">
        <f t="shared" si="0"/>
        <v>0</v>
      </c>
      <c r="R10" s="229">
        <f t="shared" ref="R10:S10" si="2">SUM(R9:R9)</f>
        <v>0</v>
      </c>
      <c r="S10" s="229">
        <f t="shared" si="2"/>
        <v>0</v>
      </c>
      <c r="T10" s="5"/>
    </row>
    <row r="11" spans="1:31" ht="13.5" thickTop="1">
      <c r="A11" s="162" t="s">
        <v>53</v>
      </c>
      <c r="B11" s="171"/>
      <c r="C11" s="169"/>
      <c r="D11" s="172"/>
      <c r="E11" s="185"/>
      <c r="F11" s="186"/>
      <c r="G11" s="187"/>
      <c r="H11" s="185"/>
      <c r="I11" s="188"/>
      <c r="J11" s="187"/>
      <c r="K11" s="185"/>
      <c r="L11" s="188"/>
      <c r="M11" s="187"/>
      <c r="N11" s="185"/>
      <c r="O11" s="336"/>
      <c r="P11" s="337"/>
      <c r="Q11" s="189"/>
      <c r="R11" s="188"/>
      <c r="S11" s="190"/>
      <c r="T11" s="183"/>
      <c r="Y11" s="6"/>
      <c r="Z11" s="6"/>
      <c r="AA11" s="6"/>
      <c r="AB11" s="6"/>
      <c r="AC11" s="6"/>
      <c r="AD11" s="6"/>
      <c r="AE11" s="6"/>
    </row>
    <row r="12" spans="1:31">
      <c r="A12" s="42" t="s">
        <v>11</v>
      </c>
      <c r="B12" s="158">
        <v>14093</v>
      </c>
      <c r="C12" s="331">
        <f>B12*(INDEX('Ex ante LI &amp; Eligibility Stats'!$A:$M,MATCH($A12,'Ex ante LI &amp; Eligibility Stats'!$A:$A,0),MATCH('Program MW '!C$6,'Ex ante LI &amp; Eligibility Stats'!$A$8:$M$8,0))/1000)</f>
        <v>1.9730200000000002</v>
      </c>
      <c r="D12" s="330">
        <f>B12*(INDEX('Ex post LI &amp; Eligibility Stats'!$A:$N,MATCH($A12,'Ex post LI &amp; Eligibility Stats'!$A:$A,0),MATCH('Program MW '!C$6,'Ex post LI &amp; Eligibility Stats'!$A$8:$N$8,0))/1000)</f>
        <v>5.6372</v>
      </c>
      <c r="E12" s="158">
        <v>0</v>
      </c>
      <c r="F12" s="329">
        <f>E12*(INDEX('Ex ante LI &amp; Eligibility Stats'!$A:$M,MATCH($A12,'Ex ante LI &amp; Eligibility Stats'!$A:$A,0),MATCH('Program MW '!F$6,'Ex ante LI &amp; Eligibility Stats'!$A$8:$M$8,0))/1000)</f>
        <v>0</v>
      </c>
      <c r="G12" s="330">
        <f>E12*(INDEX('Ex post LI &amp; Eligibility Stats'!$A:$N,MATCH($A12,'Ex post LI &amp; Eligibility Stats'!$A:$A,0),MATCH('Program MW '!F$6,'Ex post LI &amp; Eligibility Stats'!$A$8:$N$8,0))/1000)</f>
        <v>0</v>
      </c>
      <c r="H12" s="158">
        <v>0</v>
      </c>
      <c r="I12" s="331">
        <f>H12*(INDEX('Ex ante LI &amp; Eligibility Stats'!$A:$M,MATCH('Program MW '!$A12,'Ex ante LI &amp; Eligibility Stats'!$A:$A,0),MATCH('Program MW '!I$6,'Ex ante LI &amp; Eligibility Stats'!$A$8:$M$8,0))/1000)</f>
        <v>0</v>
      </c>
      <c r="J12" s="330">
        <f>H12*(INDEX('Ex post LI &amp; Eligibility Stats'!$A:$N,MATCH($A12,'Ex post LI &amp; Eligibility Stats'!$A:$A,0),MATCH('Program MW '!I$6,'Ex post LI &amp; Eligibility Stats'!$A$8:$N$8,0))/1000)</f>
        <v>0</v>
      </c>
      <c r="K12" s="158">
        <v>0</v>
      </c>
      <c r="L12" s="331">
        <f>K12*(INDEX('Ex ante LI &amp; Eligibility Stats'!$A:$M,MATCH('Program MW '!$A12,'Ex ante LI &amp; Eligibility Stats'!$A:$A,0),MATCH('Program MW '!L$6,'Ex ante LI &amp; Eligibility Stats'!$A$8:$M$8,0))/1000)</f>
        <v>0</v>
      </c>
      <c r="M12" s="330">
        <f>K12*(INDEX('Ex post LI &amp; Eligibility Stats'!$A:$N,MATCH($A12,'Ex post LI &amp; Eligibility Stats'!$A:$A,0),MATCH('Program MW '!L$6,'Ex post LI &amp; Eligibility Stats'!$A$8:$N$8,0))/1000)</f>
        <v>0</v>
      </c>
      <c r="N12" s="158">
        <v>0</v>
      </c>
      <c r="O12" s="331">
        <f>N12*(INDEX('Ex ante LI &amp; Eligibility Stats'!$A:$M,MATCH('Program MW '!$A12,'Ex ante LI &amp; Eligibility Stats'!$A:$A,0),MATCH('Program MW '!O$6,'Ex ante LI &amp; Eligibility Stats'!$A$8:$M$8,0))/1000)</f>
        <v>0</v>
      </c>
      <c r="P12" s="330">
        <f>N12*(INDEX('Ex post LI &amp; Eligibility Stats'!$A:$N,MATCH($A12,'Ex post LI &amp; Eligibility Stats'!$A:$A,0),MATCH('Program MW '!O$6,'Ex post LI &amp; Eligibility Stats'!$A$8:$N$8,0))/1000)</f>
        <v>0</v>
      </c>
      <c r="Q12" s="158">
        <v>0</v>
      </c>
      <c r="R12" s="331">
        <f>Q12*(INDEX('Ex ante LI &amp; Eligibility Stats'!$A:$M,MATCH('Program MW '!$A12,'Ex ante LI &amp; Eligibility Stats'!$A:$A,0),MATCH('Program MW '!R$6,'Ex ante LI &amp; Eligibility Stats'!$A$8:$M$8,0))/1000)</f>
        <v>0</v>
      </c>
      <c r="S12" s="330">
        <f>Q12*(INDEX('Ex post LI &amp; Eligibility Stats'!$A:$N,MATCH($A12,'Ex post LI &amp; Eligibility Stats'!$A:$A,0),MATCH('Program MW '!R$6,'Ex post LI &amp; Eligibility Stats'!$A$8:$N$8,0))/1000)</f>
        <v>0</v>
      </c>
      <c r="T12" s="7">
        <v>138123</v>
      </c>
      <c r="U12" s="6"/>
      <c r="V12" s="6"/>
      <c r="W12" s="6"/>
      <c r="X12" s="6"/>
      <c r="Y12" s="6"/>
      <c r="Z12" s="6"/>
      <c r="AA12" s="6"/>
      <c r="AB12" s="6"/>
      <c r="AC12" s="6"/>
      <c r="AD12" s="6"/>
      <c r="AE12" s="6"/>
    </row>
    <row r="13" spans="1:31" ht="13.5">
      <c r="A13" s="205" t="s">
        <v>54</v>
      </c>
      <c r="B13" s="206">
        <v>0</v>
      </c>
      <c r="C13" s="331">
        <v>0</v>
      </c>
      <c r="D13" s="332">
        <v>0</v>
      </c>
      <c r="E13" s="206">
        <v>0</v>
      </c>
      <c r="F13" s="331">
        <v>0</v>
      </c>
      <c r="G13" s="332">
        <v>0</v>
      </c>
      <c r="H13" s="206">
        <v>0</v>
      </c>
      <c r="I13" s="331">
        <v>0</v>
      </c>
      <c r="J13" s="332">
        <v>0</v>
      </c>
      <c r="K13" s="206">
        <v>0</v>
      </c>
      <c r="L13" s="331">
        <v>0</v>
      </c>
      <c r="M13" s="332">
        <v>0</v>
      </c>
      <c r="N13" s="206">
        <v>0</v>
      </c>
      <c r="O13" s="331">
        <v>0</v>
      </c>
      <c r="P13" s="332">
        <v>0</v>
      </c>
      <c r="Q13" s="206">
        <v>0</v>
      </c>
      <c r="R13" s="331">
        <v>0</v>
      </c>
      <c r="S13" s="332">
        <v>0</v>
      </c>
      <c r="T13" s="4"/>
      <c r="U13" s="6"/>
      <c r="V13" s="6"/>
      <c r="W13" s="6"/>
      <c r="X13" s="6"/>
      <c r="Y13" s="6"/>
      <c r="Z13" s="6"/>
      <c r="AA13" s="6"/>
      <c r="AB13" s="6"/>
      <c r="AC13" s="6"/>
      <c r="AD13" s="6"/>
      <c r="AE13" s="6"/>
    </row>
    <row r="14" spans="1:31">
      <c r="A14" s="273" t="s">
        <v>17</v>
      </c>
      <c r="B14" s="159">
        <v>17376</v>
      </c>
      <c r="C14" s="331">
        <f>B14*(INDEX('Ex ante LI &amp; Eligibility Stats'!$A:$M,MATCH($A14,'Ex ante LI &amp; Eligibility Stats'!$A:$A,0),MATCH('Program MW '!C$6,'Ex ante LI &amp; Eligibility Stats'!$A$8:$M$8,0))/1000)</f>
        <v>1.9547919699107298E-4</v>
      </c>
      <c r="D14" s="332">
        <f>B14*(INDEX('Ex post LI &amp; Eligibility Stats'!$A:$N,MATCH($A14,'Ex post LI &amp; Eligibility Stats'!$A:$A,0),MATCH('Program MW '!C$6,'Ex post LI &amp; Eligibility Stats'!$A$8:$N$8,0))/1000)</f>
        <v>5.5603200000000008</v>
      </c>
      <c r="E14" s="159">
        <v>0</v>
      </c>
      <c r="F14" s="331">
        <f>E14*(INDEX('Ex ante LI &amp; Eligibility Stats'!$A:$M,MATCH($A14,'Ex ante LI &amp; Eligibility Stats'!$A:$A,0),MATCH('Program MW '!F$6,'Ex ante LI &amp; Eligibility Stats'!$A$8:$M$8,0))/1000)</f>
        <v>0</v>
      </c>
      <c r="G14" s="332">
        <f>E14*(INDEX('Ex post LI &amp; Eligibility Stats'!$A:$N,MATCH($A14,'Ex post LI &amp; Eligibility Stats'!$A:$A,0),MATCH('Program MW '!F$6,'Ex post LI &amp; Eligibility Stats'!$A$8:$N$8,0))/1000)</f>
        <v>0</v>
      </c>
      <c r="H14" s="159">
        <v>0</v>
      </c>
      <c r="I14" s="331">
        <f>H14*(INDEX('Ex ante LI &amp; Eligibility Stats'!$A:$M,MATCH('Program MW '!$A14,'Ex ante LI &amp; Eligibility Stats'!$A:$A,0),MATCH('Program MW '!I$6,'Ex ante LI &amp; Eligibility Stats'!$A$8:$M$8,0))/1000)</f>
        <v>0</v>
      </c>
      <c r="J14" s="332">
        <f>H14*(INDEX('Ex post LI &amp; Eligibility Stats'!$A:$N,MATCH($A14,'Ex post LI &amp; Eligibility Stats'!$A:$A,0),MATCH('Program MW '!I$6,'Ex post LI &amp; Eligibility Stats'!$A$8:$N$8,0))/1000)</f>
        <v>0</v>
      </c>
      <c r="K14" s="159">
        <v>0</v>
      </c>
      <c r="L14" s="331">
        <f>K14*(INDEX('Ex ante LI &amp; Eligibility Stats'!$A:$M,MATCH('Program MW '!$A14,'Ex ante LI &amp; Eligibility Stats'!$A:$A,0),MATCH('Program MW '!L$6,'Ex ante LI &amp; Eligibility Stats'!$A$8:$M$8,0))/1000)</f>
        <v>0</v>
      </c>
      <c r="M14" s="332">
        <f>K14*(INDEX('Ex post LI &amp; Eligibility Stats'!$A:$N,MATCH($A14,'Ex post LI &amp; Eligibility Stats'!$A:$A,0),MATCH('Program MW '!L$6,'Ex post LI &amp; Eligibility Stats'!$A$8:$N$8,0))/1000)</f>
        <v>0</v>
      </c>
      <c r="N14" s="159">
        <v>0</v>
      </c>
      <c r="O14" s="331">
        <f>N14*(INDEX('Ex ante LI &amp; Eligibility Stats'!$A:$M,MATCH('Program MW '!$A14,'Ex ante LI &amp; Eligibility Stats'!$A:$A,0),MATCH('Program MW '!O$6,'Ex ante LI &amp; Eligibility Stats'!$A$8:$M$8,0))/1000)</f>
        <v>0</v>
      </c>
      <c r="P14" s="332">
        <f>N14*(INDEX('Ex post LI &amp; Eligibility Stats'!$A:$N,MATCH($A14,'Ex post LI &amp; Eligibility Stats'!$A:$A,0),MATCH('Program MW '!O$6,'Ex post LI &amp; Eligibility Stats'!$A$8:$N$8,0))/1000)</f>
        <v>0</v>
      </c>
      <c r="Q14" s="159">
        <v>0</v>
      </c>
      <c r="R14" s="331">
        <f>Q14*(INDEX('Ex ante LI &amp; Eligibility Stats'!$A:$M,MATCH('Program MW '!$A14,'Ex ante LI &amp; Eligibility Stats'!$A:$A,0),MATCH('Program MW '!R$6,'Ex ante LI &amp; Eligibility Stats'!$A$8:$M$8,0))/1000)</f>
        <v>0</v>
      </c>
      <c r="S14" s="332">
        <f>Q14*(INDEX('Ex post LI &amp; Eligibility Stats'!$A:$N,MATCH($A14,'Ex post LI &amp; Eligibility Stats'!$A:$A,0),MATCH('Program MW '!R$6,'Ex post LI &amp; Eligibility Stats'!$A$8:$N$8,0))/1000)</f>
        <v>0</v>
      </c>
      <c r="T14" s="4">
        <v>663393.5</v>
      </c>
      <c r="U14" s="6"/>
      <c r="V14" s="6"/>
      <c r="W14" s="6"/>
      <c r="X14" s="6"/>
      <c r="Y14" s="6"/>
      <c r="Z14" s="6"/>
      <c r="AA14" s="6"/>
      <c r="AB14" s="6"/>
      <c r="AC14" s="6"/>
      <c r="AD14" s="6"/>
      <c r="AE14" s="6"/>
    </row>
    <row r="15" spans="1:31">
      <c r="A15" s="156" t="s">
        <v>20</v>
      </c>
      <c r="B15" s="159">
        <v>704</v>
      </c>
      <c r="C15" s="331">
        <f>B15*(INDEX('Ex ante LI &amp; Eligibility Stats'!$A:$M,MATCH($A15,'Ex ante LI &amp; Eligibility Stats'!$A:$A,0),MATCH('Program MW '!C$6,'Ex ante LI &amp; Eligibility Stats'!$A$8:$M$8,0))/1000)</f>
        <v>2.559620887041092E-4</v>
      </c>
      <c r="D15" s="332">
        <f>B15*(INDEX('Ex post LI &amp; Eligibility Stats'!$A:$N,MATCH($A15,'Ex post LI &amp; Eligibility Stats'!$A:$A,0),MATCH('Program MW '!C$6,'Ex post LI &amp; Eligibility Stats'!$A$8:$N$8,0))/1000)</f>
        <v>0.32384000000000002</v>
      </c>
      <c r="E15" s="159">
        <v>0</v>
      </c>
      <c r="F15" s="331">
        <f>E15*(INDEX('Ex ante LI &amp; Eligibility Stats'!$A:$M,MATCH($A15,'Ex ante LI &amp; Eligibility Stats'!$A:$A,0),MATCH('Program MW '!F$6,'Ex ante LI &amp; Eligibility Stats'!$A$8:$M$8,0))/1000)</f>
        <v>0</v>
      </c>
      <c r="G15" s="332">
        <f>E15*(INDEX('Ex post LI &amp; Eligibility Stats'!$A:$N,MATCH($A15,'Ex post LI &amp; Eligibility Stats'!$A:$A,0),MATCH('Program MW '!F$6,'Ex post LI &amp; Eligibility Stats'!$A$8:$N$8,0))/1000)</f>
        <v>0</v>
      </c>
      <c r="H15" s="159">
        <v>0</v>
      </c>
      <c r="I15" s="331">
        <f>H15*(INDEX('Ex ante LI &amp; Eligibility Stats'!$A:$M,MATCH('Program MW '!$A15,'Ex ante LI &amp; Eligibility Stats'!$A:$A,0),MATCH('Program MW '!I$6,'Ex ante LI &amp; Eligibility Stats'!$A$8:$M$8,0))/1000)</f>
        <v>0</v>
      </c>
      <c r="J15" s="332">
        <f>H15*(INDEX('Ex post LI &amp; Eligibility Stats'!$A:$N,MATCH($A15,'Ex post LI &amp; Eligibility Stats'!$A:$A,0),MATCH('Program MW '!I$6,'Ex post LI &amp; Eligibility Stats'!$A$8:$N$8,0))/1000)</f>
        <v>0</v>
      </c>
      <c r="K15" s="159">
        <v>0</v>
      </c>
      <c r="L15" s="331">
        <f>K15*(INDEX('Ex ante LI &amp; Eligibility Stats'!$A:$M,MATCH('Program MW '!$A15,'Ex ante LI &amp; Eligibility Stats'!$A:$A,0),MATCH('Program MW '!L$6,'Ex ante LI &amp; Eligibility Stats'!$A$8:$M$8,0))/1000)</f>
        <v>0</v>
      </c>
      <c r="M15" s="332">
        <f>K15*(INDEX('Ex post LI &amp; Eligibility Stats'!$A:$N,MATCH($A15,'Ex post LI &amp; Eligibility Stats'!$A:$A,0),MATCH('Program MW '!L$6,'Ex post LI &amp; Eligibility Stats'!$A$8:$N$8,0))/1000)</f>
        <v>0</v>
      </c>
      <c r="N15" s="159">
        <v>0</v>
      </c>
      <c r="O15" s="331">
        <f>N15*(INDEX('Ex ante LI &amp; Eligibility Stats'!$A:$M,MATCH('Program MW '!$A15,'Ex ante LI &amp; Eligibility Stats'!$A:$A,0),MATCH('Program MW '!O$6,'Ex ante LI &amp; Eligibility Stats'!$A$8:$M$8,0))/1000)</f>
        <v>0</v>
      </c>
      <c r="P15" s="332">
        <f>N15*(INDEX('Ex post LI &amp; Eligibility Stats'!$A:$N,MATCH($A15,'Ex post LI &amp; Eligibility Stats'!$A:$A,0),MATCH('Program MW '!O$6,'Ex post LI &amp; Eligibility Stats'!$A$8:$N$8,0))/1000)</f>
        <v>0</v>
      </c>
      <c r="Q15" s="159">
        <v>0</v>
      </c>
      <c r="R15" s="331">
        <f>Q15*(INDEX('Ex ante LI &amp; Eligibility Stats'!$A:$M,MATCH('Program MW '!$A15,'Ex ante LI &amp; Eligibility Stats'!$A:$A,0),MATCH('Program MW '!R$6,'Ex ante LI &amp; Eligibility Stats'!$A$8:$M$8,0))/1000)</f>
        <v>0</v>
      </c>
      <c r="S15" s="332">
        <f>Q15*(INDEX('Ex post LI &amp; Eligibility Stats'!$A:$N,MATCH($A15,'Ex post LI &amp; Eligibility Stats'!$A:$A,0),MATCH('Program MW '!R$6,'Ex post LI &amp; Eligibility Stats'!$A$8:$N$8,0))/1000)</f>
        <v>0</v>
      </c>
      <c r="T15" s="4"/>
      <c r="U15" s="6"/>
      <c r="V15" s="6"/>
      <c r="W15" s="6"/>
      <c r="X15" s="6"/>
      <c r="Y15" s="6"/>
      <c r="Z15" s="6"/>
      <c r="AA15" s="6"/>
      <c r="AB15" s="6"/>
      <c r="AC15" s="6"/>
      <c r="AD15" s="6"/>
      <c r="AE15" s="6"/>
    </row>
    <row r="16" spans="1:31">
      <c r="A16" s="273" t="s">
        <v>21</v>
      </c>
      <c r="B16" s="393">
        <v>10225</v>
      </c>
      <c r="C16" s="331">
        <f>B16*(INDEX('Ex ante LI &amp; Eligibility Stats'!$A:$M,MATCH($A16,'Ex ante LI &amp; Eligibility Stats'!$A:$A,0),MATCH('Program MW '!C$6,'Ex ante LI &amp; Eligibility Stats'!$A$8:$M$8,0))/1000)</f>
        <v>0</v>
      </c>
      <c r="D16" s="332">
        <f>B16*(INDEX('Ex post LI &amp; Eligibility Stats'!$A:$N,MATCH($A16,'Ex post LI &amp; Eligibility Stats'!$A:$A,0),MATCH('Program MW '!C$6,'Ex post LI &amp; Eligibility Stats'!$A$8:$N$8,0))/1000)</f>
        <v>1.3292500000000003</v>
      </c>
      <c r="E16" s="393">
        <v>0</v>
      </c>
      <c r="F16" s="331">
        <f>E16*(INDEX('Ex ante LI &amp; Eligibility Stats'!$A:$M,MATCH($A16,'Ex ante LI &amp; Eligibility Stats'!$A:$A,0),MATCH('Program MW '!F$6,'Ex ante LI &amp; Eligibility Stats'!$A$8:$M$8,0))/1000)</f>
        <v>0</v>
      </c>
      <c r="G16" s="332">
        <f>E16*(INDEX('Ex post LI &amp; Eligibility Stats'!$A:$N,MATCH($A16,'Ex post LI &amp; Eligibility Stats'!$A:$A,0),MATCH('Program MW '!F$6,'Ex post LI &amp; Eligibility Stats'!$A$8:$N$8,0))/1000)</f>
        <v>0</v>
      </c>
      <c r="H16" s="393">
        <v>0</v>
      </c>
      <c r="I16" s="331">
        <f>H16*(INDEX('Ex ante LI &amp; Eligibility Stats'!$A:$M,MATCH('Program MW '!$A16,'Ex ante LI &amp; Eligibility Stats'!$A:$A,0),MATCH('Program MW '!I$6,'Ex ante LI &amp; Eligibility Stats'!$A$8:$M$8,0))/1000)</f>
        <v>0</v>
      </c>
      <c r="J16" s="332">
        <f>H16*(INDEX('Ex post LI &amp; Eligibility Stats'!$A:$N,MATCH($A16,'Ex post LI &amp; Eligibility Stats'!$A:$A,0),MATCH('Program MW '!I$6,'Ex post LI &amp; Eligibility Stats'!$A$8:$N$8,0))/1000)</f>
        <v>0</v>
      </c>
      <c r="K16" s="393">
        <v>0</v>
      </c>
      <c r="L16" s="331">
        <f>K16*(INDEX('Ex ante LI &amp; Eligibility Stats'!$A:$M,MATCH('Program MW '!$A16,'Ex ante LI &amp; Eligibility Stats'!$A:$A,0),MATCH('Program MW '!L$6,'Ex ante LI &amp; Eligibility Stats'!$A$8:$M$8,0))/1000)</f>
        <v>0</v>
      </c>
      <c r="M16" s="332">
        <f>K16*(INDEX('Ex post LI &amp; Eligibility Stats'!$A:$N,MATCH($A16,'Ex post LI &amp; Eligibility Stats'!$A:$A,0),MATCH('Program MW '!L$6,'Ex post LI &amp; Eligibility Stats'!$A$8:$N$8,0))/1000)</f>
        <v>0</v>
      </c>
      <c r="N16" s="393">
        <v>0</v>
      </c>
      <c r="O16" s="331">
        <f>N16*(INDEX('Ex ante LI &amp; Eligibility Stats'!$A:$M,MATCH('Program MW '!$A16,'Ex ante LI &amp; Eligibility Stats'!$A:$A,0),MATCH('Program MW '!O$6,'Ex ante LI &amp; Eligibility Stats'!$A$8:$M$8,0))/1000)</f>
        <v>0</v>
      </c>
      <c r="P16" s="332">
        <f>N16*(INDEX('Ex post LI &amp; Eligibility Stats'!$A:$N,MATCH($A16,'Ex post LI &amp; Eligibility Stats'!$A:$A,0),MATCH('Program MW '!O$6,'Ex post LI &amp; Eligibility Stats'!$A$8:$N$8,0))/1000)</f>
        <v>0</v>
      </c>
      <c r="Q16" s="393">
        <v>0</v>
      </c>
      <c r="R16" s="331">
        <f>Q16*(INDEX('Ex ante LI &amp; Eligibility Stats'!$A:$M,MATCH('Program MW '!$A16,'Ex ante LI &amp; Eligibility Stats'!$A:$A,0),MATCH('Program MW '!R$6,'Ex ante LI &amp; Eligibility Stats'!$A$8:$M$8,0))/1000)</f>
        <v>0</v>
      </c>
      <c r="S16" s="332">
        <f>Q16*(INDEX('Ex post LI &amp; Eligibility Stats'!$A:$N,MATCH($A16,'Ex post LI &amp; Eligibility Stats'!$A:$A,0),MATCH('Program MW '!R$6,'Ex post LI &amp; Eligibility Stats'!$A$8:$N$8,0))/1000)</f>
        <v>0</v>
      </c>
      <c r="T16" s="4">
        <v>157189</v>
      </c>
      <c r="U16" s="6"/>
      <c r="V16" s="6"/>
      <c r="W16" s="6"/>
      <c r="X16" s="6"/>
      <c r="Y16" s="6"/>
      <c r="Z16" s="6"/>
      <c r="AA16" s="6"/>
      <c r="AB16" s="6"/>
      <c r="AC16" s="6"/>
      <c r="AD16" s="6"/>
      <c r="AE16" s="6"/>
    </row>
    <row r="17" spans="1:31">
      <c r="A17" s="273" t="s">
        <v>23</v>
      </c>
      <c r="B17" s="393">
        <v>2652</v>
      </c>
      <c r="C17" s="331">
        <f>B17*(INDEX('Ex ante LI &amp; Eligibility Stats'!$A:$M,MATCH($A17,'Ex ante LI &amp; Eligibility Stats'!$A:$A,0),MATCH('Program MW '!C$6,'Ex ante LI &amp; Eligibility Stats'!$A$8:$M$8,0))/1000)</f>
        <v>0</v>
      </c>
      <c r="D17" s="332">
        <f>B17*(INDEX('Ex post LI &amp; Eligibility Stats'!$A:$N,MATCH($A17,'Ex post LI &amp; Eligibility Stats'!$A:$A,0),MATCH('Program MW '!C$6,'Ex post LI &amp; Eligibility Stats'!$A$8:$N$8,0))/1000)</f>
        <v>0.1326</v>
      </c>
      <c r="E17" s="393">
        <v>0</v>
      </c>
      <c r="F17" s="331">
        <f>E17*(INDEX('Ex ante LI &amp; Eligibility Stats'!$A:$M,MATCH($A17,'Ex ante LI &amp; Eligibility Stats'!$A:$A,0),MATCH('Program MW '!F$6,'Ex ante LI &amp; Eligibility Stats'!$A$8:$M$8,0))/1000)</f>
        <v>0</v>
      </c>
      <c r="G17" s="332">
        <f>E17*(INDEX('Ex post LI &amp; Eligibility Stats'!$A:$N,MATCH($A17,'Ex post LI &amp; Eligibility Stats'!$A:$A,0),MATCH('Program MW '!F$6,'Ex post LI &amp; Eligibility Stats'!$A$8:$N$8,0))/1000)</f>
        <v>0</v>
      </c>
      <c r="H17" s="393">
        <v>0</v>
      </c>
      <c r="I17" s="331">
        <f>H17*(INDEX('Ex ante LI &amp; Eligibility Stats'!$A:$M,MATCH('Program MW '!$A17,'Ex ante LI &amp; Eligibility Stats'!$A:$A,0),MATCH('Program MW '!I$6,'Ex ante LI &amp; Eligibility Stats'!$A$8:$M$8,0))/1000)</f>
        <v>0</v>
      </c>
      <c r="J17" s="332">
        <f>H17*(INDEX('Ex post LI &amp; Eligibility Stats'!$A:$N,MATCH($A17,'Ex post LI &amp; Eligibility Stats'!$A:$A,0),MATCH('Program MW '!I$6,'Ex post LI &amp; Eligibility Stats'!$A$8:$N$8,0))/1000)</f>
        <v>0</v>
      </c>
      <c r="K17" s="393">
        <v>0</v>
      </c>
      <c r="L17" s="331">
        <f>K17*(INDEX('Ex ante LI &amp; Eligibility Stats'!$A:$M,MATCH('Program MW '!$A17,'Ex ante LI &amp; Eligibility Stats'!$A:$A,0),MATCH('Program MW '!L$6,'Ex ante LI &amp; Eligibility Stats'!$A$8:$M$8,0))/1000)</f>
        <v>0</v>
      </c>
      <c r="M17" s="332">
        <f>K17*(INDEX('Ex post LI &amp; Eligibility Stats'!$A:$N,MATCH($A17,'Ex post LI &amp; Eligibility Stats'!$A:$A,0),MATCH('Program MW '!L$6,'Ex post LI &amp; Eligibility Stats'!$A$8:$N$8,0))/1000)</f>
        <v>0</v>
      </c>
      <c r="N17" s="393">
        <v>0</v>
      </c>
      <c r="O17" s="331">
        <f>N17*(INDEX('Ex ante LI &amp; Eligibility Stats'!$A:$M,MATCH('Program MW '!$A17,'Ex ante LI &amp; Eligibility Stats'!$A:$A,0),MATCH('Program MW '!O$6,'Ex ante LI &amp; Eligibility Stats'!$A$8:$M$8,0))/1000)</f>
        <v>0</v>
      </c>
      <c r="P17" s="332">
        <f>N17*(INDEX('Ex post LI &amp; Eligibility Stats'!$A:$N,MATCH($A17,'Ex post LI &amp; Eligibility Stats'!$A:$A,0),MATCH('Program MW '!O$6,'Ex post LI &amp; Eligibility Stats'!$A$8:$N$8,0))/1000)</f>
        <v>0</v>
      </c>
      <c r="Q17" s="393">
        <v>0</v>
      </c>
      <c r="R17" s="331">
        <f>Q17*(INDEX('Ex ante LI &amp; Eligibility Stats'!$A:$M,MATCH('Program MW '!$A17,'Ex ante LI &amp; Eligibility Stats'!$A:$A,0),MATCH('Program MW '!R$6,'Ex ante LI &amp; Eligibility Stats'!$A$8:$M$8,0))/1000)</f>
        <v>0</v>
      </c>
      <c r="S17" s="332">
        <f>Q17*(INDEX('Ex post LI &amp; Eligibility Stats'!$A:$N,MATCH($A17,'Ex post LI &amp; Eligibility Stats'!$A:$A,0),MATCH('Program MW '!R$6,'Ex post LI &amp; Eligibility Stats'!$A$8:$N$8,0))/1000)</f>
        <v>0</v>
      </c>
      <c r="T17" s="4">
        <v>157189</v>
      </c>
      <c r="U17" s="6"/>
      <c r="V17" s="6"/>
      <c r="W17" s="6"/>
      <c r="X17" s="6"/>
      <c r="Y17" s="6"/>
      <c r="Z17" s="6"/>
      <c r="AA17" s="6"/>
      <c r="AB17" s="6"/>
      <c r="AC17" s="6"/>
      <c r="AD17" s="6"/>
      <c r="AE17" s="6"/>
    </row>
    <row r="18" spans="1:31">
      <c r="A18" s="156" t="s">
        <v>24</v>
      </c>
      <c r="B18" s="159">
        <v>0</v>
      </c>
      <c r="C18" s="331">
        <f>B18*(INDEX('Ex ante LI &amp; Eligibility Stats'!$A:$M,MATCH($A18,'Ex ante LI &amp; Eligibility Stats'!$A:$A,0),MATCH('Program MW '!C$6,'Ex ante LI &amp; Eligibility Stats'!$A$8:$M$8,0))/1000)</f>
        <v>0</v>
      </c>
      <c r="D18" s="332">
        <f>B18*(INDEX('Ex post LI &amp; Eligibility Stats'!$A:$N,MATCH($A18,'Ex post LI &amp; Eligibility Stats'!$A:$A,0),MATCH('Program MW '!C$6,'Ex post LI &amp; Eligibility Stats'!$A$8:$N$8,0))/1000)</f>
        <v>0</v>
      </c>
      <c r="E18" s="159">
        <v>0</v>
      </c>
      <c r="F18" s="331">
        <f>E18*(INDEX('Ex ante LI &amp; Eligibility Stats'!$A:$M,MATCH($A18,'Ex ante LI &amp; Eligibility Stats'!$A:$A,0),MATCH('Program MW '!F$6,'Ex ante LI &amp; Eligibility Stats'!$A$8:$M$8,0))/1000)</f>
        <v>0</v>
      </c>
      <c r="G18" s="332">
        <f>E18*(INDEX('Ex post LI &amp; Eligibility Stats'!$A:$N,MATCH($A18,'Ex post LI &amp; Eligibility Stats'!$A:$A,0),MATCH('Program MW '!F$6,'Ex post LI &amp; Eligibility Stats'!$A$8:$N$8,0))/1000)</f>
        <v>0</v>
      </c>
      <c r="H18" s="159">
        <v>0</v>
      </c>
      <c r="I18" s="331">
        <f>H18*(INDEX('Ex ante LI &amp; Eligibility Stats'!$A:$M,MATCH('Program MW '!$A18,'Ex ante LI &amp; Eligibility Stats'!$A:$A,0),MATCH('Program MW '!I$6,'Ex ante LI &amp; Eligibility Stats'!$A$8:$M$8,0))/1000)</f>
        <v>0</v>
      </c>
      <c r="J18" s="332">
        <f>H18*(INDEX('Ex post LI &amp; Eligibility Stats'!$A:$N,MATCH($A18,'Ex post LI &amp; Eligibility Stats'!$A:$A,0),MATCH('Program MW '!I$6,'Ex post LI &amp; Eligibility Stats'!$A$8:$N$8,0))/1000)</f>
        <v>0</v>
      </c>
      <c r="K18" s="159">
        <v>0</v>
      </c>
      <c r="L18" s="331">
        <f>K18*(INDEX('Ex ante LI &amp; Eligibility Stats'!$A:$M,MATCH('Program MW '!$A18,'Ex ante LI &amp; Eligibility Stats'!$A:$A,0),MATCH('Program MW '!L$6,'Ex ante LI &amp; Eligibility Stats'!$A$8:$M$8,0))/1000)</f>
        <v>0</v>
      </c>
      <c r="M18" s="332">
        <f>K18*(INDEX('Ex post LI &amp; Eligibility Stats'!$A:$N,MATCH($A18,'Ex post LI &amp; Eligibility Stats'!$A:$A,0),MATCH('Program MW '!L$6,'Ex post LI &amp; Eligibility Stats'!$A$8:$N$8,0))/1000)</f>
        <v>0</v>
      </c>
      <c r="N18" s="159">
        <v>0</v>
      </c>
      <c r="O18" s="331">
        <f>N18*(INDEX('Ex ante LI &amp; Eligibility Stats'!$A:$M,MATCH('Program MW '!$A18,'Ex ante LI &amp; Eligibility Stats'!$A:$A,0),MATCH('Program MW '!O$6,'Ex ante LI &amp; Eligibility Stats'!$A$8:$M$8,0))/1000)</f>
        <v>0</v>
      </c>
      <c r="P18" s="332">
        <f>N18*(INDEX('Ex post LI &amp; Eligibility Stats'!$A:$N,MATCH($A18,'Ex post LI &amp; Eligibility Stats'!$A:$A,0),MATCH('Program MW '!O$6,'Ex post LI &amp; Eligibility Stats'!$A$8:$N$8,0))/1000)</f>
        <v>0</v>
      </c>
      <c r="Q18" s="159">
        <v>0</v>
      </c>
      <c r="R18" s="331">
        <f>Q18*(INDEX('Ex ante LI &amp; Eligibility Stats'!$A:$M,MATCH('Program MW '!$A18,'Ex ante LI &amp; Eligibility Stats'!$A:$A,0),MATCH('Program MW '!R$6,'Ex ante LI &amp; Eligibility Stats'!$A$8:$M$8,0))/1000)</f>
        <v>0</v>
      </c>
      <c r="S18" s="332">
        <f>Q18*(INDEX('Ex post LI &amp; Eligibility Stats'!$A:$N,MATCH($A18,'Ex post LI &amp; Eligibility Stats'!$A:$A,0),MATCH('Program MW '!R$6,'Ex post LI &amp; Eligibility Stats'!$A$8:$N$8,0))/1000)</f>
        <v>0</v>
      </c>
      <c r="T18" s="4">
        <v>18875</v>
      </c>
      <c r="U18" s="6"/>
      <c r="V18" s="6"/>
      <c r="W18" s="6"/>
      <c r="X18" s="6"/>
      <c r="Y18" s="6"/>
      <c r="Z18" s="6"/>
      <c r="AA18" s="6"/>
      <c r="AB18" s="6"/>
      <c r="AC18" s="6"/>
      <c r="AD18" s="6"/>
      <c r="AE18" s="6"/>
    </row>
    <row r="19" spans="1:31">
      <c r="A19" s="156" t="s">
        <v>25</v>
      </c>
      <c r="B19" s="159">
        <v>0</v>
      </c>
      <c r="C19" s="331">
        <f>B19*(INDEX('Ex ante LI &amp; Eligibility Stats'!$A:$M,MATCH($A19,'Ex ante LI &amp; Eligibility Stats'!$A:$A,0),MATCH('Program MW '!C$6,'Ex ante LI &amp; Eligibility Stats'!$A$8:$M$8,0))/1000)</f>
        <v>0</v>
      </c>
      <c r="D19" s="332">
        <f>B19*(INDEX('Ex post LI &amp; Eligibility Stats'!$A:$N,MATCH($A19,'Ex post LI &amp; Eligibility Stats'!$A:$A,0),MATCH('Program MW '!C$6,'Ex post LI &amp; Eligibility Stats'!$A$8:$N$8,0))/1000)</f>
        <v>0</v>
      </c>
      <c r="E19" s="159">
        <v>0</v>
      </c>
      <c r="F19" s="331">
        <f>E19*(INDEX('Ex ante LI &amp; Eligibility Stats'!$A:$M,MATCH($A19,'Ex ante LI &amp; Eligibility Stats'!$A:$A,0),MATCH('Program MW '!F$6,'Ex ante LI &amp; Eligibility Stats'!$A$8:$M$8,0))/1000)</f>
        <v>0</v>
      </c>
      <c r="G19" s="332">
        <f>E19*(INDEX('Ex post LI &amp; Eligibility Stats'!$A:$N,MATCH($A19,'Ex post LI &amp; Eligibility Stats'!$A:$A,0),MATCH('Program MW '!F$6,'Ex post LI &amp; Eligibility Stats'!$A$8:$N$8,0))/1000)</f>
        <v>0</v>
      </c>
      <c r="H19" s="159">
        <v>0</v>
      </c>
      <c r="I19" s="331">
        <f>H19*(INDEX('Ex ante LI &amp; Eligibility Stats'!$A:$M,MATCH('Program MW '!$A19,'Ex ante LI &amp; Eligibility Stats'!$A:$A,0),MATCH('Program MW '!I$6,'Ex ante LI &amp; Eligibility Stats'!$A$8:$M$8,0))/1000)</f>
        <v>0</v>
      </c>
      <c r="J19" s="332">
        <f>H19*(INDEX('Ex post LI &amp; Eligibility Stats'!$A:$N,MATCH($A19,'Ex post LI &amp; Eligibility Stats'!$A:$A,0),MATCH('Program MW '!I$6,'Ex post LI &amp; Eligibility Stats'!$A$8:$N$8,0))/1000)</f>
        <v>0</v>
      </c>
      <c r="K19" s="159">
        <v>0</v>
      </c>
      <c r="L19" s="331">
        <f>K19*(INDEX('Ex ante LI &amp; Eligibility Stats'!$A:$M,MATCH('Program MW '!$A19,'Ex ante LI &amp; Eligibility Stats'!$A:$A,0),MATCH('Program MW '!L$6,'Ex ante LI &amp; Eligibility Stats'!$A$8:$M$8,0))/1000)</f>
        <v>0</v>
      </c>
      <c r="M19" s="332">
        <f>K19*(INDEX('Ex post LI &amp; Eligibility Stats'!$A:$N,MATCH($A19,'Ex post LI &amp; Eligibility Stats'!$A:$A,0),MATCH('Program MW '!L$6,'Ex post LI &amp; Eligibility Stats'!$A$8:$N$8,0))/1000)</f>
        <v>0</v>
      </c>
      <c r="N19" s="159">
        <v>0</v>
      </c>
      <c r="O19" s="331">
        <f>N19*(INDEX('Ex ante LI &amp; Eligibility Stats'!$A:$M,MATCH('Program MW '!$A19,'Ex ante LI &amp; Eligibility Stats'!$A:$A,0),MATCH('Program MW '!O$6,'Ex ante LI &amp; Eligibility Stats'!$A$8:$M$8,0))/1000)</f>
        <v>0</v>
      </c>
      <c r="P19" s="332">
        <f>N19*(INDEX('Ex post LI &amp; Eligibility Stats'!$A:$N,MATCH($A19,'Ex post LI &amp; Eligibility Stats'!$A:$A,0),MATCH('Program MW '!O$6,'Ex post LI &amp; Eligibility Stats'!$A$8:$N$8,0))/1000)</f>
        <v>0</v>
      </c>
      <c r="Q19" s="159">
        <v>0</v>
      </c>
      <c r="R19" s="331">
        <f>Q19*(INDEX('Ex ante LI &amp; Eligibility Stats'!$A:$M,MATCH('Program MW '!$A19,'Ex ante LI &amp; Eligibility Stats'!$A:$A,0),MATCH('Program MW '!R$6,'Ex ante LI &amp; Eligibility Stats'!$A$8:$M$8,0))/1000)</f>
        <v>0</v>
      </c>
      <c r="S19" s="332">
        <f>Q19*(INDEX('Ex post LI &amp; Eligibility Stats'!$A:$N,MATCH($A19,'Ex post LI &amp; Eligibility Stats'!$A:$A,0),MATCH('Program MW '!R$6,'Ex post LI &amp; Eligibility Stats'!$A$8:$N$8,0))/1000)</f>
        <v>0</v>
      </c>
      <c r="T19" s="4">
        <v>18875</v>
      </c>
      <c r="U19" s="6"/>
      <c r="V19" s="6"/>
      <c r="W19" s="6"/>
      <c r="X19" s="6"/>
      <c r="Y19" s="6"/>
      <c r="Z19" s="6"/>
      <c r="AA19" s="6"/>
      <c r="AB19" s="6"/>
      <c r="AC19" s="6"/>
      <c r="AD19" s="6"/>
      <c r="AE19" s="6"/>
    </row>
    <row r="20" spans="1:31" s="152" customFormat="1">
      <c r="A20" s="273" t="s">
        <v>55</v>
      </c>
      <c r="B20" s="206">
        <v>94</v>
      </c>
      <c r="C20" s="331">
        <v>0</v>
      </c>
      <c r="D20" s="332">
        <v>0</v>
      </c>
      <c r="E20" s="206">
        <v>0</v>
      </c>
      <c r="F20" s="331" t="s">
        <v>56</v>
      </c>
      <c r="G20" s="332" t="s">
        <v>56</v>
      </c>
      <c r="H20" s="206">
        <v>0</v>
      </c>
      <c r="I20" s="331">
        <f>H20*(INDEX('Ex ante LI &amp; Eligibility Stats'!$A:$M,MATCH('Program MW '!$A20,'Ex ante LI &amp; Eligibility Stats'!$A:$A,0),MATCH('Program MW '!I$6,'Ex ante LI &amp; Eligibility Stats'!$A$8:$M$8,0))/1000)</f>
        <v>0</v>
      </c>
      <c r="J20" s="332">
        <f>H20*(INDEX('Ex post LI &amp; Eligibility Stats'!$A:$N,MATCH($A20,'Ex post LI &amp; Eligibility Stats'!$A:$A,0),MATCH('Program MW '!I$6,'Ex post LI &amp; Eligibility Stats'!$A$8:$N$8,0))/1000)</f>
        <v>0</v>
      </c>
      <c r="K20" s="206">
        <v>0</v>
      </c>
      <c r="L20" s="331">
        <f>K20*(INDEX('Ex ante LI &amp; Eligibility Stats'!$A:$M,MATCH('Program MW '!$A20,'Ex ante LI &amp; Eligibility Stats'!$A:$A,0),MATCH('Program MW '!L$6,'Ex ante LI &amp; Eligibility Stats'!$A$8:$M$8,0))/1000)</f>
        <v>0</v>
      </c>
      <c r="M20" s="332">
        <f>K20*(INDEX('Ex post LI &amp; Eligibility Stats'!$A:$N,MATCH($A20,'Ex post LI &amp; Eligibility Stats'!$A:$A,0),MATCH('Program MW '!L$6,'Ex post LI &amp; Eligibility Stats'!$A$8:$N$8,0))/1000)</f>
        <v>0</v>
      </c>
      <c r="N20" s="206">
        <v>0</v>
      </c>
      <c r="O20" s="331">
        <f>N20*(INDEX('Ex ante LI &amp; Eligibility Stats'!$A:$M,MATCH('Program MW '!$A20,'Ex ante LI &amp; Eligibility Stats'!$A:$A,0),MATCH('Program MW '!O$6,'Ex ante LI &amp; Eligibility Stats'!$A$8:$M$8,0))/1000)</f>
        <v>0</v>
      </c>
      <c r="P20" s="332">
        <f>N20*(INDEX('Ex post LI &amp; Eligibility Stats'!$A:$N,MATCH($A20,'Ex post LI &amp; Eligibility Stats'!$A:$A,0),MATCH('Program MW '!O$6,'Ex post LI &amp; Eligibility Stats'!$A$8:$N$8,0))/1000)</f>
        <v>0</v>
      </c>
      <c r="Q20" s="206">
        <v>0</v>
      </c>
      <c r="R20" s="331">
        <f>Q20*(INDEX('Ex ante LI &amp; Eligibility Stats'!$A:$M,MATCH('Program MW '!$A20,'Ex ante LI &amp; Eligibility Stats'!$A:$A,0),MATCH('Program MW '!R$6,'Ex ante LI &amp; Eligibility Stats'!$A$8:$M$8,0))/1000)</f>
        <v>0</v>
      </c>
      <c r="S20" s="332">
        <f>Q20*(INDEX('Ex post LI &amp; Eligibility Stats'!$A:$N,MATCH($A20,'Ex post LI &amp; Eligibility Stats'!$A:$A,0),MATCH('Program MW '!R$6,'Ex post LI &amp; Eligibility Stats'!$A$8:$N$8,0))/1000)</f>
        <v>0</v>
      </c>
      <c r="T20" s="423"/>
      <c r="U20" s="424"/>
      <c r="V20" s="424"/>
      <c r="W20" s="424"/>
      <c r="X20" s="424"/>
      <c r="Y20" s="424"/>
      <c r="Z20" s="424"/>
      <c r="AA20" s="424"/>
      <c r="AB20" s="424"/>
      <c r="AC20" s="424"/>
      <c r="AD20" s="424"/>
      <c r="AE20" s="424"/>
    </row>
    <row r="21" spans="1:31">
      <c r="A21" s="156" t="s">
        <v>26</v>
      </c>
      <c r="B21" s="159">
        <v>17743</v>
      </c>
      <c r="C21" s="331">
        <f>B21*(INDEX('Ex ante LI &amp; Eligibility Stats'!$A:$M,MATCH($A21,'Ex ante LI &amp; Eligibility Stats'!$A:$A,0),MATCH('Program MW '!C$6,'Ex ante LI &amp; Eligibility Stats'!$A$8:$M$8,0))/1000)</f>
        <v>0.17743</v>
      </c>
      <c r="D21" s="332">
        <f>B21*(INDEX('Ex post LI &amp; Eligibility Stats'!$A:$N,MATCH($A21,'Ex post LI &amp; Eligibility Stats'!$A:$A,0),MATCH('Program MW '!C$6,'Ex post LI &amp; Eligibility Stats'!$A$8:$N$8,0))/1000)</f>
        <v>0.88714999999999999</v>
      </c>
      <c r="E21" s="159">
        <v>0</v>
      </c>
      <c r="F21" s="331">
        <f>E21*(INDEX('Ex ante LI &amp; Eligibility Stats'!$A:$M,MATCH($A21,'Ex ante LI &amp; Eligibility Stats'!$A:$A,0),MATCH('Program MW '!F$6,'Ex ante LI &amp; Eligibility Stats'!$A$8:$M$8,0))/1000)</f>
        <v>0</v>
      </c>
      <c r="G21" s="332">
        <f>E21*(INDEX('Ex post LI &amp; Eligibility Stats'!$A:$N,MATCH($A21,'Ex post LI &amp; Eligibility Stats'!$A:$A,0),MATCH('Program MW '!F$6,'Ex post LI &amp; Eligibility Stats'!$A$8:$N$8,0))/1000)</f>
        <v>0</v>
      </c>
      <c r="H21" s="159">
        <v>0</v>
      </c>
      <c r="I21" s="331">
        <f>H21*(INDEX('Ex ante LI &amp; Eligibility Stats'!$A:$M,MATCH('Program MW '!$A21,'Ex ante LI &amp; Eligibility Stats'!$A:$A,0),MATCH('Program MW '!I$6,'Ex ante LI &amp; Eligibility Stats'!$A$8:$M$8,0))/1000)</f>
        <v>0</v>
      </c>
      <c r="J21" s="332">
        <f>H21*(INDEX('Ex post LI &amp; Eligibility Stats'!$A:$N,MATCH($A21,'Ex post LI &amp; Eligibility Stats'!$A:$A,0),MATCH('Program MW '!I$6,'Ex post LI &amp; Eligibility Stats'!$A$8:$N$8,0))/1000)</f>
        <v>0</v>
      </c>
      <c r="K21" s="159">
        <v>0</v>
      </c>
      <c r="L21" s="331">
        <f>K21*(INDEX('Ex ante LI &amp; Eligibility Stats'!$A:$M,MATCH('Program MW '!$A21,'Ex ante LI &amp; Eligibility Stats'!$A:$A,0),MATCH('Program MW '!L$6,'Ex ante LI &amp; Eligibility Stats'!$A$8:$M$8,0))/1000)</f>
        <v>0</v>
      </c>
      <c r="M21" s="332">
        <f>K21*(INDEX('Ex post LI &amp; Eligibility Stats'!$A:$N,MATCH($A21,'Ex post LI &amp; Eligibility Stats'!$A:$A,0),MATCH('Program MW '!L$6,'Ex post LI &amp; Eligibility Stats'!$A$8:$N$8,0))/1000)</f>
        <v>0</v>
      </c>
      <c r="N21" s="159">
        <v>0</v>
      </c>
      <c r="O21" s="331">
        <f>N21*(INDEX('Ex ante LI &amp; Eligibility Stats'!$A:$M,MATCH('Program MW '!$A21,'Ex ante LI &amp; Eligibility Stats'!$A:$A,0),MATCH('Program MW '!O$6,'Ex ante LI &amp; Eligibility Stats'!$A$8:$M$8,0))/1000)</f>
        <v>0</v>
      </c>
      <c r="P21" s="332">
        <f>N21*(INDEX('Ex post LI &amp; Eligibility Stats'!$A:$N,MATCH($A21,'Ex post LI &amp; Eligibility Stats'!$A:$A,0),MATCH('Program MW '!O$6,'Ex post LI &amp; Eligibility Stats'!$A$8:$N$8,0))/1000)</f>
        <v>0</v>
      </c>
      <c r="Q21" s="159">
        <v>0</v>
      </c>
      <c r="R21" s="331">
        <f>Q21*(INDEX('Ex ante LI &amp; Eligibility Stats'!$A:$M,MATCH('Program MW '!$A21,'Ex ante LI &amp; Eligibility Stats'!$A:$A,0),MATCH('Program MW '!R$6,'Ex ante LI &amp; Eligibility Stats'!$A$8:$M$8,0))/1000)</f>
        <v>0</v>
      </c>
      <c r="S21" s="332">
        <f>Q21*(INDEX('Ex post LI &amp; Eligibility Stats'!$A:$N,MATCH($A21,'Ex post LI &amp; Eligibility Stats'!$A:$A,0),MATCH('Program MW '!R$6,'Ex post LI &amp; Eligibility Stats'!$A$8:$N$8,0))/1000)</f>
        <v>0</v>
      </c>
      <c r="T21" s="4"/>
      <c r="U21" s="6"/>
      <c r="V21" s="6"/>
      <c r="W21" s="6"/>
      <c r="X21" s="6"/>
      <c r="Y21" s="6"/>
      <c r="Z21" s="6"/>
      <c r="AA21" s="6"/>
      <c r="AB21" s="6"/>
      <c r="AC21" s="6"/>
      <c r="AD21" s="6"/>
      <c r="AE21" s="6"/>
    </row>
    <row r="22" spans="1:31">
      <c r="A22" s="230" t="s">
        <v>27</v>
      </c>
      <c r="B22" s="272">
        <v>111812</v>
      </c>
      <c r="C22" s="333">
        <f>B22*(INDEX('Ex ante LI &amp; Eligibility Stats'!$A:$M,MATCH($A22,'Ex ante LI &amp; Eligibility Stats'!$A:$A,0),MATCH('Program MW '!C$6,'Ex ante LI &amp; Eligibility Stats'!$A$8:$M$8,0))/1000)</f>
        <v>4.327015207260847</v>
      </c>
      <c r="D22" s="334">
        <f>B22*(INDEX('Ex post LI &amp; Eligibility Stats'!$A:$N,MATCH($A22,'Ex post LI &amp; Eligibility Stats'!$A:$A,0),MATCH('Program MW '!C$6,'Ex post LI &amp; Eligibility Stats'!$A$8:$N$8,0))/1000)</f>
        <v>19.008040000000001</v>
      </c>
      <c r="E22" s="272">
        <v>0</v>
      </c>
      <c r="F22" s="331">
        <f>E22*(INDEX('Ex ante LI &amp; Eligibility Stats'!$A:$M,MATCH($A22,'Ex ante LI &amp; Eligibility Stats'!$A:$A,0),MATCH('Program MW '!F$6,'Ex ante LI &amp; Eligibility Stats'!$A$8:$M$8,0))/1000)</f>
        <v>0</v>
      </c>
      <c r="G22" s="332">
        <f>E22*(INDEX('Ex post LI &amp; Eligibility Stats'!$A:$N,MATCH($A22,'Ex post LI &amp; Eligibility Stats'!$A:$A,0),MATCH('Program MW '!F$6,'Ex post LI &amp; Eligibility Stats'!$A$8:$N$8,0))/1000)</f>
        <v>0</v>
      </c>
      <c r="H22" s="272">
        <v>0</v>
      </c>
      <c r="I22" s="331">
        <f>H22*(INDEX('Ex ante LI &amp; Eligibility Stats'!$A:$M,MATCH('Program MW '!$A22,'Ex ante LI &amp; Eligibility Stats'!$A:$A,0),MATCH('Program MW '!I$6,'Ex ante LI &amp; Eligibility Stats'!$A$8:$M$8,0))/1000)</f>
        <v>0</v>
      </c>
      <c r="J22" s="332">
        <f>H22*(INDEX('Ex post LI &amp; Eligibility Stats'!$A:$N,MATCH($A22,'Ex post LI &amp; Eligibility Stats'!$A:$A,0),MATCH('Program MW '!I$6,'Ex post LI &amp; Eligibility Stats'!$A$8:$N$8,0))/1000)</f>
        <v>0</v>
      </c>
      <c r="K22" s="272">
        <v>0</v>
      </c>
      <c r="L22" s="331">
        <f>K22*(INDEX('Ex ante LI &amp; Eligibility Stats'!$A:$M,MATCH('Program MW '!$A22,'Ex ante LI &amp; Eligibility Stats'!$A:$A,0),MATCH('Program MW '!L$6,'Ex ante LI &amp; Eligibility Stats'!$A$8:$M$8,0))/1000)</f>
        <v>0</v>
      </c>
      <c r="M22" s="332">
        <f>K22*(INDEX('Ex post LI &amp; Eligibility Stats'!$A:$N,MATCH($A22,'Ex post LI &amp; Eligibility Stats'!$A:$A,0),MATCH('Program MW '!L$6,'Ex post LI &amp; Eligibility Stats'!$A$8:$N$8,0))/1000)</f>
        <v>0</v>
      </c>
      <c r="N22" s="272">
        <v>0</v>
      </c>
      <c r="O22" s="331">
        <f>N22*(INDEX('Ex ante LI &amp; Eligibility Stats'!$A:$M,MATCH('Program MW '!$A22,'Ex ante LI &amp; Eligibility Stats'!$A:$A,0),MATCH('Program MW '!O$6,'Ex ante LI &amp; Eligibility Stats'!$A$8:$M$8,0))/1000)</f>
        <v>0</v>
      </c>
      <c r="P22" s="332">
        <f>N22*(INDEX('Ex post LI &amp; Eligibility Stats'!$A:$N,MATCH($A22,'Ex post LI &amp; Eligibility Stats'!$A:$A,0),MATCH('Program MW '!O$6,'Ex post LI &amp; Eligibility Stats'!$A$8:$N$8,0))/1000)</f>
        <v>0</v>
      </c>
      <c r="Q22" s="272">
        <v>0</v>
      </c>
      <c r="R22" s="331">
        <f>Q22*(INDEX('Ex ante LI &amp; Eligibility Stats'!$A:$M,MATCH('Program MW '!$A22,'Ex ante LI &amp; Eligibility Stats'!$A:$A,0),MATCH('Program MW '!R$6,'Ex ante LI &amp; Eligibility Stats'!$A$8:$M$8,0))/1000)</f>
        <v>0</v>
      </c>
      <c r="S22" s="332">
        <f>Q22*(INDEX('Ex post LI &amp; Eligibility Stats'!$A:$N,MATCH($A22,'Ex post LI &amp; Eligibility Stats'!$A:$A,0),MATCH('Program MW '!R$6,'Ex post LI &amp; Eligibility Stats'!$A$8:$N$8,0))/1000)</f>
        <v>0</v>
      </c>
      <c r="T22" s="4"/>
      <c r="U22" s="6"/>
      <c r="V22" s="6"/>
      <c r="W22" s="6"/>
      <c r="X22" s="6"/>
      <c r="Y22" s="6"/>
      <c r="Z22" s="6"/>
      <c r="AA22" s="6"/>
      <c r="AB22" s="6"/>
      <c r="AC22" s="6"/>
      <c r="AD22" s="6"/>
      <c r="AE22" s="6"/>
    </row>
    <row r="23" spans="1:31" ht="13.5" thickBot="1">
      <c r="A23" s="184" t="s">
        <v>57</v>
      </c>
      <c r="B23" s="157">
        <f t="shared" ref="B23:S23" si="3">SUM(B12:B22)</f>
        <v>174699</v>
      </c>
      <c r="C23" s="174">
        <f t="shared" si="3"/>
        <v>6.4779166485465431</v>
      </c>
      <c r="D23" s="173">
        <f t="shared" si="3"/>
        <v>32.878399999999999</v>
      </c>
      <c r="E23" s="1">
        <f t="shared" si="3"/>
        <v>0</v>
      </c>
      <c r="F23" s="232">
        <f t="shared" si="3"/>
        <v>0</v>
      </c>
      <c r="G23" s="233">
        <f t="shared" si="3"/>
        <v>0</v>
      </c>
      <c r="H23" s="1">
        <f t="shared" si="3"/>
        <v>0</v>
      </c>
      <c r="I23" s="232">
        <f t="shared" si="3"/>
        <v>0</v>
      </c>
      <c r="J23" s="233">
        <f t="shared" si="3"/>
        <v>0</v>
      </c>
      <c r="K23" s="1">
        <f t="shared" si="3"/>
        <v>0</v>
      </c>
      <c r="L23" s="232">
        <f t="shared" si="3"/>
        <v>0</v>
      </c>
      <c r="M23" s="233">
        <f t="shared" si="3"/>
        <v>0</v>
      </c>
      <c r="N23" s="1">
        <f t="shared" si="3"/>
        <v>0</v>
      </c>
      <c r="O23" s="234">
        <f t="shared" si="3"/>
        <v>0</v>
      </c>
      <c r="P23" s="237">
        <f t="shared" si="3"/>
        <v>0</v>
      </c>
      <c r="Q23" s="1">
        <f t="shared" si="3"/>
        <v>0</v>
      </c>
      <c r="R23" s="241">
        <f t="shared" si="3"/>
        <v>0</v>
      </c>
      <c r="S23" s="242">
        <f t="shared" si="3"/>
        <v>0</v>
      </c>
      <c r="T23" s="5"/>
      <c r="U23" s="6"/>
      <c r="V23" s="6"/>
      <c r="W23" s="6"/>
      <c r="X23" s="6"/>
      <c r="Y23" s="6"/>
      <c r="Z23" s="6"/>
      <c r="AA23" s="6"/>
      <c r="AB23" s="6"/>
      <c r="AC23" s="6"/>
      <c r="AD23" s="6"/>
      <c r="AE23" s="6"/>
    </row>
    <row r="24" spans="1:31" ht="14" thickTop="1" thickBot="1">
      <c r="A24" s="191" t="s">
        <v>58</v>
      </c>
      <c r="B24" s="2">
        <f t="shared" ref="B24:S24" si="4">+B10+B23</f>
        <v>174703</v>
      </c>
      <c r="C24" s="174">
        <f t="shared" si="4"/>
        <v>7.069673728624668</v>
      </c>
      <c r="D24" s="270">
        <f t="shared" si="4"/>
        <v>33.302720000000001</v>
      </c>
      <c r="E24" s="2">
        <f t="shared" si="4"/>
        <v>0</v>
      </c>
      <c r="F24" s="174">
        <f t="shared" si="4"/>
        <v>0</v>
      </c>
      <c r="G24" s="174">
        <f t="shared" si="4"/>
        <v>0</v>
      </c>
      <c r="H24" s="2">
        <f t="shared" si="4"/>
        <v>0</v>
      </c>
      <c r="I24" s="174">
        <f t="shared" si="4"/>
        <v>0</v>
      </c>
      <c r="J24" s="173">
        <f t="shared" si="4"/>
        <v>0</v>
      </c>
      <c r="K24" s="2">
        <f t="shared" si="4"/>
        <v>0</v>
      </c>
      <c r="L24" s="174">
        <f t="shared" si="4"/>
        <v>0</v>
      </c>
      <c r="M24" s="173">
        <f t="shared" si="4"/>
        <v>0</v>
      </c>
      <c r="N24" s="2">
        <f t="shared" si="4"/>
        <v>0</v>
      </c>
      <c r="O24" s="235">
        <f t="shared" si="4"/>
        <v>0</v>
      </c>
      <c r="P24" s="173">
        <f t="shared" si="4"/>
        <v>0</v>
      </c>
      <c r="Q24" s="2">
        <f t="shared" si="4"/>
        <v>0</v>
      </c>
      <c r="R24" s="244">
        <f t="shared" si="4"/>
        <v>0</v>
      </c>
      <c r="S24" s="243">
        <f t="shared" si="4"/>
        <v>0</v>
      </c>
      <c r="T24" s="8"/>
      <c r="U24" s="6"/>
      <c r="V24" s="6"/>
      <c r="W24" s="6"/>
      <c r="X24" s="6"/>
      <c r="Y24" s="6"/>
      <c r="Z24" s="6"/>
      <c r="AA24" s="6"/>
      <c r="AB24" s="6"/>
      <c r="AC24" s="6"/>
      <c r="AD24" s="6"/>
      <c r="AE24" s="6"/>
    </row>
    <row r="25" spans="1:31" ht="13.5" thickTop="1">
      <c r="A25" s="146"/>
      <c r="B25" s="92"/>
      <c r="C25" s="90"/>
      <c r="D25" s="91"/>
      <c r="E25" s="92"/>
      <c r="F25" s="90"/>
      <c r="G25" s="93"/>
      <c r="H25" s="92"/>
      <c r="I25" s="90"/>
      <c r="J25" s="93"/>
      <c r="K25" s="92"/>
      <c r="L25" s="90"/>
      <c r="M25" s="93"/>
      <c r="N25" s="92"/>
      <c r="O25" s="90"/>
      <c r="P25" s="93"/>
      <c r="Q25" s="92"/>
      <c r="R25" s="90"/>
      <c r="S25" s="93"/>
      <c r="T25" s="9"/>
      <c r="U25" s="6"/>
      <c r="V25" s="6"/>
      <c r="W25" s="6"/>
      <c r="X25" s="6"/>
      <c r="Y25" s="6"/>
      <c r="Z25" s="6"/>
      <c r="AA25" s="6"/>
      <c r="AB25" s="6"/>
      <c r="AC25" s="6"/>
      <c r="AD25" s="6"/>
      <c r="AE25" s="6"/>
    </row>
    <row r="26" spans="1:31">
      <c r="B26" s="41"/>
      <c r="C26" s="41"/>
      <c r="D26" s="41"/>
      <c r="E26" s="41"/>
      <c r="F26" s="41"/>
      <c r="G26" s="41"/>
      <c r="H26" s="41"/>
      <c r="I26" s="41"/>
      <c r="J26" s="41"/>
      <c r="K26" s="41"/>
      <c r="L26" s="41"/>
      <c r="M26" s="41"/>
      <c r="N26" s="41"/>
      <c r="O26" s="41"/>
      <c r="P26" s="41"/>
      <c r="Q26" s="41"/>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95"/>
      <c r="C28" s="395" t="s">
        <v>59</v>
      </c>
      <c r="D28" s="258"/>
      <c r="E28" s="395"/>
      <c r="F28" s="395" t="s">
        <v>67</v>
      </c>
      <c r="G28" s="395"/>
      <c r="H28" s="395"/>
      <c r="I28" s="395" t="s">
        <v>68</v>
      </c>
      <c r="J28" s="395"/>
      <c r="K28" s="395"/>
      <c r="L28" s="395" t="s">
        <v>61</v>
      </c>
      <c r="M28" s="395"/>
      <c r="N28" s="395"/>
      <c r="O28" s="395" t="s">
        <v>69</v>
      </c>
      <c r="P28" s="395"/>
      <c r="Q28" s="395"/>
      <c r="R28" s="395" t="s">
        <v>62</v>
      </c>
      <c r="S28" s="395"/>
      <c r="T28" s="146"/>
      <c r="U28" s="146"/>
    </row>
    <row r="29" spans="1:31" ht="39">
      <c r="A29" s="162" t="s">
        <v>46</v>
      </c>
      <c r="B29" s="181" t="s">
        <v>6</v>
      </c>
      <c r="C29" s="178" t="s">
        <v>292</v>
      </c>
      <c r="D29" s="168" t="s">
        <v>293</v>
      </c>
      <c r="E29" s="181" t="s">
        <v>6</v>
      </c>
      <c r="F29" s="178" t="s">
        <v>292</v>
      </c>
      <c r="G29" s="168" t="s">
        <v>293</v>
      </c>
      <c r="H29" s="181" t="s">
        <v>6</v>
      </c>
      <c r="I29" s="178" t="s">
        <v>292</v>
      </c>
      <c r="J29" s="168" t="s">
        <v>293</v>
      </c>
      <c r="K29" s="181" t="s">
        <v>6</v>
      </c>
      <c r="L29" s="178" t="s">
        <v>292</v>
      </c>
      <c r="M29" s="168" t="s">
        <v>293</v>
      </c>
      <c r="N29" s="181" t="s">
        <v>6</v>
      </c>
      <c r="O29" s="178" t="s">
        <v>292</v>
      </c>
      <c r="P29" s="168" t="s">
        <v>293</v>
      </c>
      <c r="Q29" s="181" t="s">
        <v>6</v>
      </c>
      <c r="R29" s="178" t="s">
        <v>292</v>
      </c>
      <c r="S29" s="168" t="s">
        <v>293</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0</v>
      </c>
      <c r="C31" s="331">
        <f>B31*(INDEX('Ex ante LI &amp; Eligibility Stats'!$A:$M,MATCH('Program MW '!$A31,'Ex ante LI &amp; Eligibility Stats'!$A:$A,0),MATCH('Program MW '!C$28,'Ex ante LI &amp; Eligibility Stats'!$A$8:$M$8,0))/1000)</f>
        <v>0</v>
      </c>
      <c r="D31" s="331">
        <f>B31*(INDEX('Ex post LI &amp; Eligibility Stats'!$A:$N,MATCH($A31,'Ex post LI &amp; Eligibility Stats'!$A:$A,0),MATCH('Program MW '!C$28,'Ex post LI &amp; Eligibility Stats'!$A$8:$N$8,0))/1000)</f>
        <v>0</v>
      </c>
      <c r="E31" s="124">
        <v>0</v>
      </c>
      <c r="F31" s="331">
        <f>E31*(INDEX('Ex ante LI &amp; Eligibility Stats'!$A:$M,MATCH('Program MW '!$A31,'Ex ante LI &amp; Eligibility Stats'!$A:$A,0),MATCH('Program MW '!F$28,'Ex ante LI &amp; Eligibility Stats'!$A$8:$M$8,0))/1000)</f>
        <v>0</v>
      </c>
      <c r="G31" s="331">
        <f>E31*(INDEX('Ex post LI &amp; Eligibility Stats'!$A:$N,MATCH($A31,'Ex post LI &amp; Eligibility Stats'!$A:$A,0),MATCH('Program MW '!F$28,'Ex post LI &amp; Eligibility Stats'!$A$8:$N$8,0))/1000)</f>
        <v>0</v>
      </c>
      <c r="H31" s="124">
        <v>0</v>
      </c>
      <c r="I31" s="331">
        <f>H31*(INDEX('Ex ante LI &amp; Eligibility Stats'!$A:$M,MATCH('Program MW '!$A31,'Ex ante LI &amp; Eligibility Stats'!$A:$A,0),MATCH('Program MW '!I$28,'Ex ante LI &amp; Eligibility Stats'!$A$8:$M$8,0))/1000)</f>
        <v>0</v>
      </c>
      <c r="J31" s="331">
        <f>H31*(INDEX('Ex post LI &amp; Eligibility Stats'!$A:$N,MATCH($A31,'Ex post LI &amp; Eligibility Stats'!$A:$A,0),MATCH('Program MW '!I$28,'Ex post LI &amp; Eligibility Stats'!$A$8:$N$8,0))/1000)</f>
        <v>0</v>
      </c>
      <c r="K31" s="126">
        <v>0</v>
      </c>
      <c r="L31" s="331">
        <f>K31*(INDEX('Ex ante LI &amp; Eligibility Stats'!$A:$M,MATCH('Program MW '!$A31,'Ex ante LI &amp; Eligibility Stats'!$A:$A,0),MATCH('Program MW '!L$28,'Ex ante LI &amp; Eligibility Stats'!$A$8:$M$8,0))/1000)</f>
        <v>0</v>
      </c>
      <c r="M31" s="331">
        <f>K31*(INDEX('Ex post LI &amp; Eligibility Stats'!$A:$N,MATCH($A31,'Ex post LI &amp; Eligibility Stats'!$A:$A,0),MATCH('Program MW '!L$28,'Ex post LI &amp; Eligibility Stats'!$A$8:$N$8,0))/1000)</f>
        <v>0</v>
      </c>
      <c r="N31" s="124">
        <v>0</v>
      </c>
      <c r="O31" s="331">
        <f>N31*(INDEX('Ex ante LI &amp; Eligibility Stats'!$A:$M,MATCH('Program MW '!$A31,'Ex ante LI &amp; Eligibility Stats'!$A:$A,0),MATCH('Program MW '!O$28,'Ex ante LI &amp; Eligibility Stats'!$A$8:$M$8,0))/1000)</f>
        <v>0</v>
      </c>
      <c r="P31" s="331">
        <f>N31*(INDEX('Ex post LI &amp; Eligibility Stats'!$A:$N,MATCH($A31,'Ex post LI &amp; Eligibility Stats'!$A:$A,0),MATCH('Program MW '!O$28,'Ex post LI &amp; Eligibility Stats'!$A$8:$N$8,0))/1000)</f>
        <v>0</v>
      </c>
      <c r="Q31" s="124">
        <v>0</v>
      </c>
      <c r="R31" s="331">
        <f>Q31*(INDEX('Ex ante LI &amp; Eligibility Stats'!$A:$M,MATCH('Program MW '!$A31,'Ex ante LI &amp; Eligibility Stats'!$A:$A,0),MATCH('Program MW '!R$28,'Ex ante LI &amp; Eligibility Stats'!$A$8:$M$8,0))/1000)</f>
        <v>0</v>
      </c>
      <c r="S31" s="331">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0</v>
      </c>
      <c r="C32" s="260">
        <f t="shared" si="5"/>
        <v>0</v>
      </c>
      <c r="D32" s="261">
        <f t="shared" si="5"/>
        <v>0</v>
      </c>
      <c r="E32" s="125">
        <f t="shared" si="5"/>
        <v>0</v>
      </c>
      <c r="F32" s="260">
        <f t="shared" ref="F32:G32" si="6">SUM(F31:F31)</f>
        <v>0</v>
      </c>
      <c r="G32" s="261">
        <f t="shared" si="6"/>
        <v>0</v>
      </c>
      <c r="H32" s="125">
        <f t="shared" si="5"/>
        <v>0</v>
      </c>
      <c r="I32" s="260">
        <f t="shared" si="5"/>
        <v>0</v>
      </c>
      <c r="J32" s="261">
        <f t="shared" si="5"/>
        <v>0</v>
      </c>
      <c r="K32" s="125">
        <f t="shared" si="5"/>
        <v>0</v>
      </c>
      <c r="L32" s="260">
        <f t="shared" ref="L32:M32" si="7">SUM(L31:L31)</f>
        <v>0</v>
      </c>
      <c r="M32" s="261">
        <f t="shared" si="7"/>
        <v>0</v>
      </c>
      <c r="N32" s="125">
        <f t="shared" ref="N32:Q32" si="8">SUM(N31:N31)</f>
        <v>0</v>
      </c>
      <c r="O32" s="260">
        <f t="shared" ref="O32:P32" si="9">SUM(O31:O31)</f>
        <v>0</v>
      </c>
      <c r="P32" s="261">
        <f t="shared" si="9"/>
        <v>0</v>
      </c>
      <c r="Q32" s="125">
        <f t="shared" si="8"/>
        <v>0</v>
      </c>
      <c r="R32" s="260">
        <f t="shared" ref="R32:S32" si="10">SUM(R31:R31)</f>
        <v>0</v>
      </c>
      <c r="S32" s="261">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0</v>
      </c>
      <c r="C34" s="331">
        <f>B34*(INDEX('Ex ante LI &amp; Eligibility Stats'!$A:$M,MATCH('Program MW '!$A34,'Ex ante LI &amp; Eligibility Stats'!$A:$A,0),MATCH('Program MW '!C$28,'Ex ante LI &amp; Eligibility Stats'!$A$8:$M$8,0))/1000)</f>
        <v>0</v>
      </c>
      <c r="D34" s="330">
        <f>B34*(INDEX('Ex post LI &amp; Eligibility Stats'!$A:$N,MATCH($A34,'Ex post LI &amp; Eligibility Stats'!$A:$A,0),MATCH('Program MW '!C$28,'Ex post LI &amp; Eligibility Stats'!$A$8:$N$8,0))/1000)</f>
        <v>0</v>
      </c>
      <c r="E34" s="158">
        <v>0</v>
      </c>
      <c r="F34" s="331">
        <f>E34*(INDEX('Ex ante LI &amp; Eligibility Stats'!$A:$M,MATCH('Program MW '!$A34,'Ex ante LI &amp; Eligibility Stats'!$A:$A,0),MATCH('Program MW '!F$28,'Ex ante LI &amp; Eligibility Stats'!$A$8:$M$8,0))/1000)</f>
        <v>0</v>
      </c>
      <c r="G34" s="330">
        <f>E34*(INDEX('Ex post LI &amp; Eligibility Stats'!$A:$N,MATCH($A34,'Ex post LI &amp; Eligibility Stats'!$A:$A,0),MATCH('Program MW '!F$28,'Ex post LI &amp; Eligibility Stats'!$A$8:$N$8,0))/1000)</f>
        <v>0</v>
      </c>
      <c r="H34" s="158">
        <v>0</v>
      </c>
      <c r="I34" s="331">
        <f>H34*(INDEX('Ex ante LI &amp; Eligibility Stats'!$A:$M,MATCH('Program MW '!$A34,'Ex ante LI &amp; Eligibility Stats'!$A:$A,0),MATCH('Program MW '!I$28,'Ex ante LI &amp; Eligibility Stats'!$A$8:$M$8,0))/1000)</f>
        <v>0</v>
      </c>
      <c r="J34" s="330">
        <f>H34*(INDEX('Ex post LI &amp; Eligibility Stats'!$A:$N,MATCH($A34,'Ex post LI &amp; Eligibility Stats'!$A:$A,0),MATCH('Program MW '!I$28,'Ex post LI &amp; Eligibility Stats'!$A$8:$N$8,0))/1000)</f>
        <v>0</v>
      </c>
      <c r="K34" s="158">
        <v>0</v>
      </c>
      <c r="L34" s="331">
        <f>K34*(INDEX('Ex ante LI &amp; Eligibility Stats'!$A:$M,MATCH('Program MW '!$A34,'Ex ante LI &amp; Eligibility Stats'!$A:$A,0),MATCH('Program MW '!L$28,'Ex ante LI &amp; Eligibility Stats'!$A$8:$M$8,0))/1000)</f>
        <v>0</v>
      </c>
      <c r="M34" s="330">
        <f>K34*(INDEX('Ex post LI &amp; Eligibility Stats'!$A:$N,MATCH($A34,'Ex post LI &amp; Eligibility Stats'!$A:$A,0),MATCH('Program MW '!L$28,'Ex post LI &amp; Eligibility Stats'!$A$8:$N$8,0))/1000)</f>
        <v>0</v>
      </c>
      <c r="N34" s="158">
        <v>0</v>
      </c>
      <c r="O34" s="331">
        <f>N34*(INDEX('Ex ante LI &amp; Eligibility Stats'!$A:$M,MATCH('Program MW '!$A34,'Ex ante LI &amp; Eligibility Stats'!$A:$A,0),MATCH('Program MW '!O$28,'Ex ante LI &amp; Eligibility Stats'!$A$8:$M$8,0))/1000)</f>
        <v>0</v>
      </c>
      <c r="P34" s="330">
        <f>N34*(INDEX('Ex post LI &amp; Eligibility Stats'!$A:$N,MATCH($A34,'Ex post LI &amp; Eligibility Stats'!$A:$A,0),MATCH('Program MW '!O$28,'Ex post LI &amp; Eligibility Stats'!$A$8:$N$8,0))/1000)</f>
        <v>0</v>
      </c>
      <c r="Q34" s="158">
        <v>0</v>
      </c>
      <c r="R34" s="331">
        <f>Q34*(INDEX('Ex ante LI &amp; Eligibility Stats'!$A:$M,MATCH('Program MW '!$A34,'Ex ante LI &amp; Eligibility Stats'!$A:$A,0),MATCH('Program MW '!R$28,'Ex ante LI &amp; Eligibility Stats'!$A$8:$M$8,0))/1000)</f>
        <v>0</v>
      </c>
      <c r="S34" s="330">
        <f>Q34*(INDEX('Ex post LI &amp; Eligibility Stats'!$A:$N,MATCH($A34,'Ex post LI &amp; Eligibility Stats'!$A:$A,0),MATCH('Program MW '!R$28,'Ex post LI &amp; Eligibility Stats'!$A$8:$N$8,0))/1000)</f>
        <v>0</v>
      </c>
      <c r="T34" s="7">
        <v>138123</v>
      </c>
    </row>
    <row r="35" spans="1:26" ht="13.5">
      <c r="A35" s="205" t="s">
        <v>54</v>
      </c>
      <c r="B35" s="206">
        <v>0</v>
      </c>
      <c r="C35" s="331">
        <v>0</v>
      </c>
      <c r="D35" s="332">
        <v>0</v>
      </c>
      <c r="E35" s="206">
        <v>0</v>
      </c>
      <c r="F35" s="331">
        <v>0</v>
      </c>
      <c r="G35" s="332">
        <v>0</v>
      </c>
      <c r="H35" s="206">
        <v>0</v>
      </c>
      <c r="I35" s="331">
        <v>0</v>
      </c>
      <c r="J35" s="332">
        <v>0</v>
      </c>
      <c r="K35" s="206">
        <v>0</v>
      </c>
      <c r="L35" s="331">
        <v>0</v>
      </c>
      <c r="M35" s="332">
        <v>0</v>
      </c>
      <c r="N35" s="206">
        <v>0</v>
      </c>
      <c r="O35" s="331">
        <v>0</v>
      </c>
      <c r="P35" s="332">
        <v>0</v>
      </c>
      <c r="Q35" s="206">
        <v>0</v>
      </c>
      <c r="R35" s="331">
        <v>0</v>
      </c>
      <c r="S35" s="332">
        <v>0</v>
      </c>
      <c r="T35" s="4"/>
    </row>
    <row r="36" spans="1:26">
      <c r="A36" s="274" t="s">
        <v>17</v>
      </c>
      <c r="B36" s="159">
        <v>0</v>
      </c>
      <c r="C36" s="331">
        <f>B36*(INDEX('Ex ante LI &amp; Eligibility Stats'!$A:$M,MATCH('Program MW '!$A36,'Ex ante LI &amp; Eligibility Stats'!$A:$A,0),MATCH('Program MW '!C$28,'Ex ante LI &amp; Eligibility Stats'!$A$8:$M$8,0))/1000)</f>
        <v>0</v>
      </c>
      <c r="D36" s="332">
        <f>B36*(INDEX('Ex post LI &amp; Eligibility Stats'!$A:$N,MATCH($A36,'Ex post LI &amp; Eligibility Stats'!$A:$A,0),MATCH('Program MW '!C$28,'Ex post LI &amp; Eligibility Stats'!$A$8:$N$8,0))/1000)</f>
        <v>0</v>
      </c>
      <c r="E36" s="159">
        <v>0</v>
      </c>
      <c r="F36" s="331">
        <f>E36*(INDEX('Ex ante LI &amp; Eligibility Stats'!$A:$M,MATCH('Program MW '!$A36,'Ex ante LI &amp; Eligibility Stats'!$A:$A,0),MATCH('Program MW '!F$28,'Ex ante LI &amp; Eligibility Stats'!$A$8:$M$8,0))/1000)</f>
        <v>0</v>
      </c>
      <c r="G36" s="332">
        <f>E36*(INDEX('Ex post LI &amp; Eligibility Stats'!$A:$N,MATCH($A36,'Ex post LI &amp; Eligibility Stats'!$A:$A,0),MATCH('Program MW '!F$28,'Ex post LI &amp; Eligibility Stats'!$A$8:$N$8,0))/1000)</f>
        <v>0</v>
      </c>
      <c r="H36" s="159">
        <v>0</v>
      </c>
      <c r="I36" s="331">
        <f>H36*(INDEX('Ex ante LI &amp; Eligibility Stats'!$A:$M,MATCH('Program MW '!$A36,'Ex ante LI &amp; Eligibility Stats'!$A:$A,0),MATCH('Program MW '!I$28,'Ex ante LI &amp; Eligibility Stats'!$A$8:$M$8,0))/1000)</f>
        <v>0</v>
      </c>
      <c r="J36" s="332">
        <f>H36*(INDEX('Ex post LI &amp; Eligibility Stats'!$A:$N,MATCH($A36,'Ex post LI &amp; Eligibility Stats'!$A:$A,0),MATCH('Program MW '!I$28,'Ex post LI &amp; Eligibility Stats'!$A$8:$N$8,0))/1000)</f>
        <v>0</v>
      </c>
      <c r="K36" s="159">
        <v>0</v>
      </c>
      <c r="L36" s="331">
        <f>K36*(INDEX('Ex ante LI &amp; Eligibility Stats'!$A:$M,MATCH('Program MW '!$A36,'Ex ante LI &amp; Eligibility Stats'!$A:$A,0),MATCH('Program MW '!L$28,'Ex ante LI &amp; Eligibility Stats'!$A$8:$M$8,0))/1000)</f>
        <v>0</v>
      </c>
      <c r="M36" s="332">
        <f>K36*(INDEX('Ex post LI &amp; Eligibility Stats'!$A:$N,MATCH($A36,'Ex post LI &amp; Eligibility Stats'!$A:$A,0),MATCH('Program MW '!L$28,'Ex post LI &amp; Eligibility Stats'!$A$8:$N$8,0))/1000)</f>
        <v>0</v>
      </c>
      <c r="N36" s="159">
        <v>0</v>
      </c>
      <c r="O36" s="564">
        <f>N36*(INDEX('Ex ante LI &amp; Eligibility Stats'!$A:$M,MATCH('Program MW '!$A36,'Ex ante LI &amp; Eligibility Stats'!$A:$A,0),MATCH('Program MW '!O$28,'Ex ante LI &amp; Eligibility Stats'!$A$8:$M$8,0))/1000)</f>
        <v>0</v>
      </c>
      <c r="P36" s="332">
        <f>N36*(INDEX('Ex post LI &amp; Eligibility Stats'!$A:$N,MATCH($A36,'Ex post LI &amp; Eligibility Stats'!$A:$A,0),MATCH('Program MW '!O$28,'Ex post LI &amp; Eligibility Stats'!$A$8:$N$8,0))/1000)</f>
        <v>0</v>
      </c>
      <c r="Q36" s="159">
        <v>0</v>
      </c>
      <c r="R36" s="331">
        <f>Q36*(INDEX('Ex ante LI &amp; Eligibility Stats'!$A:$M,MATCH('Program MW '!$A36,'Ex ante LI &amp; Eligibility Stats'!$A:$A,0),MATCH('Program MW '!R$28,'Ex ante LI &amp; Eligibility Stats'!$A$8:$M$8,0))/1000)</f>
        <v>0</v>
      </c>
      <c r="S36" s="332">
        <f>Q36*(INDEX('Ex post LI &amp; Eligibility Stats'!$A:$N,MATCH($A36,'Ex post LI &amp; Eligibility Stats'!$A:$A,0),MATCH('Program MW '!R$28,'Ex post LI &amp; Eligibility Stats'!$A$8:$N$8,0))/1000)</f>
        <v>0</v>
      </c>
      <c r="T36" s="4">
        <v>663393.5</v>
      </c>
    </row>
    <row r="37" spans="1:26">
      <c r="A37" s="274" t="s">
        <v>20</v>
      </c>
      <c r="B37" s="159">
        <v>0</v>
      </c>
      <c r="C37" s="331">
        <f>B37*(INDEX('Ex ante LI &amp; Eligibility Stats'!$A:$M,MATCH('Program MW '!$A37,'Ex ante LI &amp; Eligibility Stats'!$A:$A,0),MATCH('Program MW '!C$28,'Ex ante LI &amp; Eligibility Stats'!$A$8:$M$8,0))/1000)</f>
        <v>0</v>
      </c>
      <c r="D37" s="332">
        <f>B37*(INDEX('Ex post LI &amp; Eligibility Stats'!$A:$N,MATCH($A37,'Ex post LI &amp; Eligibility Stats'!$A:$A,0),MATCH('Program MW '!C$28,'Ex post LI &amp; Eligibility Stats'!$A$8:$N$8,0))/1000)</f>
        <v>0</v>
      </c>
      <c r="E37" s="159">
        <v>0</v>
      </c>
      <c r="F37" s="331">
        <f>E37*(INDEX('Ex ante LI &amp; Eligibility Stats'!$A:$M,MATCH('Program MW '!$A37,'Ex ante LI &amp; Eligibility Stats'!$A:$A,0),MATCH('Program MW '!F$28,'Ex ante LI &amp; Eligibility Stats'!$A$8:$M$8,0))/1000)</f>
        <v>0</v>
      </c>
      <c r="G37" s="332">
        <f>E37*(INDEX('Ex post LI &amp; Eligibility Stats'!$A:$N,MATCH($A37,'Ex post LI &amp; Eligibility Stats'!$A:$A,0),MATCH('Program MW '!F$28,'Ex post LI &amp; Eligibility Stats'!$A$8:$N$8,0))/1000)</f>
        <v>0</v>
      </c>
      <c r="H37" s="159">
        <v>0</v>
      </c>
      <c r="I37" s="331">
        <f>H37*(INDEX('Ex ante LI &amp; Eligibility Stats'!$A:$M,MATCH('Program MW '!$A37,'Ex ante LI &amp; Eligibility Stats'!$A:$A,0),MATCH('Program MW '!I$28,'Ex ante LI &amp; Eligibility Stats'!$A$8:$M$8,0))/1000)</f>
        <v>0</v>
      </c>
      <c r="J37" s="332">
        <f>H37*(INDEX('Ex post LI &amp; Eligibility Stats'!$A:$N,MATCH($A37,'Ex post LI &amp; Eligibility Stats'!$A:$A,0),MATCH('Program MW '!I$28,'Ex post LI &amp; Eligibility Stats'!$A$8:$N$8,0))/1000)</f>
        <v>0</v>
      </c>
      <c r="K37" s="159">
        <v>0</v>
      </c>
      <c r="L37" s="331">
        <f>K37*(INDEX('Ex ante LI &amp; Eligibility Stats'!$A:$M,MATCH('Program MW '!$A37,'Ex ante LI &amp; Eligibility Stats'!$A:$A,0),MATCH('Program MW '!L$28,'Ex ante LI &amp; Eligibility Stats'!$A$8:$M$8,0))/1000)</f>
        <v>0</v>
      </c>
      <c r="M37" s="332">
        <f>K37*(INDEX('Ex post LI &amp; Eligibility Stats'!$A:$N,MATCH($A37,'Ex post LI &amp; Eligibility Stats'!$A:$A,0),MATCH('Program MW '!L$28,'Ex post LI &amp; Eligibility Stats'!$A$8:$N$8,0))/1000)</f>
        <v>0</v>
      </c>
      <c r="N37" s="159">
        <v>0</v>
      </c>
      <c r="O37" s="331">
        <f>N37*(INDEX('Ex ante LI &amp; Eligibility Stats'!$A:$M,MATCH('Program MW '!$A37,'Ex ante LI &amp; Eligibility Stats'!$A:$A,0),MATCH('Program MW '!O$28,'Ex ante LI &amp; Eligibility Stats'!$A$8:$M$8,0))/1000)</f>
        <v>0</v>
      </c>
      <c r="P37" s="332">
        <f>N37*(INDEX('Ex post LI &amp; Eligibility Stats'!$A:$N,MATCH($A37,'Ex post LI &amp; Eligibility Stats'!$A:$A,0),MATCH('Program MW '!O$28,'Ex post LI &amp; Eligibility Stats'!$A$8:$N$8,0))/1000)</f>
        <v>0</v>
      </c>
      <c r="Q37" s="159">
        <v>0</v>
      </c>
      <c r="R37" s="331">
        <f>Q37*(INDEX('Ex ante LI &amp; Eligibility Stats'!$A:$M,MATCH('Program MW '!$A37,'Ex ante LI &amp; Eligibility Stats'!$A:$A,0),MATCH('Program MW '!R$28,'Ex ante LI &amp; Eligibility Stats'!$A$8:$M$8,0))/1000)</f>
        <v>0</v>
      </c>
      <c r="S37" s="332">
        <f>Q37*(INDEX('Ex post LI &amp; Eligibility Stats'!$A:$N,MATCH($A37,'Ex post LI &amp; Eligibility Stats'!$A:$A,0),MATCH('Program MW '!R$28,'Ex post LI &amp; Eligibility Stats'!$A$8:$N$8,0))/1000)</f>
        <v>0</v>
      </c>
      <c r="T37" s="4"/>
    </row>
    <row r="38" spans="1:26">
      <c r="A38" s="274" t="s">
        <v>21</v>
      </c>
      <c r="B38" s="393">
        <v>0</v>
      </c>
      <c r="C38" s="331">
        <f>B38*(INDEX('Ex ante LI &amp; Eligibility Stats'!$A:$M,MATCH('Program MW '!$A38,'Ex ante LI &amp; Eligibility Stats'!$A:$A,0),MATCH('Program MW '!C$28,'Ex ante LI &amp; Eligibility Stats'!$A$8:$M$8,0))/1000)</f>
        <v>0</v>
      </c>
      <c r="D38" s="332">
        <f>B38*(INDEX('Ex post LI &amp; Eligibility Stats'!$A:$N,MATCH($A38,'Ex post LI &amp; Eligibility Stats'!$A:$A,0),MATCH('Program MW '!C$28,'Ex post LI &amp; Eligibility Stats'!$A$8:$N$8,0))/1000)</f>
        <v>0</v>
      </c>
      <c r="E38" s="393">
        <v>0</v>
      </c>
      <c r="F38" s="331">
        <f>E38*(INDEX('Ex ante LI &amp; Eligibility Stats'!$A:$M,MATCH('Program MW '!$A38,'Ex ante LI &amp; Eligibility Stats'!$A:$A,0),MATCH('Program MW '!F$28,'Ex ante LI &amp; Eligibility Stats'!$A$8:$M$8,0))/1000)</f>
        <v>0</v>
      </c>
      <c r="G38" s="332">
        <f>E38*(INDEX('Ex post LI &amp; Eligibility Stats'!$A:$N,MATCH($A38,'Ex post LI &amp; Eligibility Stats'!$A:$A,0),MATCH('Program MW '!F$28,'Ex post LI &amp; Eligibility Stats'!$A$8:$N$8,0))/1000)</f>
        <v>0</v>
      </c>
      <c r="H38" s="393">
        <v>0</v>
      </c>
      <c r="I38" s="331">
        <f>H38*(INDEX('Ex ante LI &amp; Eligibility Stats'!$A:$M,MATCH('Program MW '!$A38,'Ex ante LI &amp; Eligibility Stats'!$A:$A,0),MATCH('Program MW '!I$28,'Ex ante LI &amp; Eligibility Stats'!$A$8:$M$8,0))/1000)</f>
        <v>0</v>
      </c>
      <c r="J38" s="332">
        <f>H38*(INDEX('Ex post LI &amp; Eligibility Stats'!$A:$N,MATCH($A38,'Ex post LI &amp; Eligibility Stats'!$A:$A,0),MATCH('Program MW '!I$28,'Ex post LI &amp; Eligibility Stats'!$A$8:$N$8,0))/1000)</f>
        <v>0</v>
      </c>
      <c r="K38" s="393">
        <v>0</v>
      </c>
      <c r="L38" s="331">
        <f>K38*(INDEX('Ex ante LI &amp; Eligibility Stats'!$A:$M,MATCH('Program MW '!$A38,'Ex ante LI &amp; Eligibility Stats'!$A:$A,0),MATCH('Program MW '!L$28,'Ex ante LI &amp; Eligibility Stats'!$A$8:$M$8,0))/1000)</f>
        <v>0</v>
      </c>
      <c r="M38" s="332">
        <f>K38*(INDEX('Ex post LI &amp; Eligibility Stats'!$A:$N,MATCH($A38,'Ex post LI &amp; Eligibility Stats'!$A:$A,0),MATCH('Program MW '!L$28,'Ex post LI &amp; Eligibility Stats'!$A$8:$N$8,0))/1000)</f>
        <v>0</v>
      </c>
      <c r="N38" s="393">
        <v>0</v>
      </c>
      <c r="O38" s="331">
        <f>N38*(INDEX('Ex ante LI &amp; Eligibility Stats'!$A:$M,MATCH('Program MW '!$A38,'Ex ante LI &amp; Eligibility Stats'!$A:$A,0),MATCH('Program MW '!O$28,'Ex ante LI &amp; Eligibility Stats'!$A$8:$M$8,0))/1000)</f>
        <v>0</v>
      </c>
      <c r="P38" s="332">
        <f>N38*(INDEX('Ex post LI &amp; Eligibility Stats'!$A:$N,MATCH($A38,'Ex post LI &amp; Eligibility Stats'!$A:$A,0),MATCH('Program MW '!O$28,'Ex post LI &amp; Eligibility Stats'!$A$8:$N$8,0))/1000)</f>
        <v>0</v>
      </c>
      <c r="Q38" s="393">
        <v>0</v>
      </c>
      <c r="R38" s="331">
        <f>Q38*(INDEX('Ex ante LI &amp; Eligibility Stats'!$A:$M,MATCH('Program MW '!$A38,'Ex ante LI &amp; Eligibility Stats'!$A:$A,0),MATCH('Program MW '!R$28,'Ex ante LI &amp; Eligibility Stats'!$A$8:$M$8,0))/1000)</f>
        <v>0</v>
      </c>
      <c r="S38" s="332">
        <f>Q38*(INDEX('Ex post LI &amp; Eligibility Stats'!$A:$N,MATCH($A38,'Ex post LI &amp; Eligibility Stats'!$A:$A,0),MATCH('Program MW '!R$28,'Ex post LI &amp; Eligibility Stats'!$A$8:$N$8,0))/1000)</f>
        <v>0</v>
      </c>
      <c r="T38" s="4">
        <v>157189</v>
      </c>
    </row>
    <row r="39" spans="1:26">
      <c r="A39" s="274" t="s">
        <v>23</v>
      </c>
      <c r="B39" s="393">
        <v>0</v>
      </c>
      <c r="C39" s="331">
        <f>B39*(INDEX('Ex ante LI &amp; Eligibility Stats'!$A:$M,MATCH('Program MW '!$A39,'Ex ante LI &amp; Eligibility Stats'!$A:$A,0),MATCH('Program MW '!C$28,'Ex ante LI &amp; Eligibility Stats'!$A$8:$M$8,0))/1000)</f>
        <v>0</v>
      </c>
      <c r="D39" s="332">
        <f>B39*(INDEX('Ex post LI &amp; Eligibility Stats'!$A:$N,MATCH($A39,'Ex post LI &amp; Eligibility Stats'!$A:$A,0),MATCH('Program MW '!C$28,'Ex post LI &amp; Eligibility Stats'!$A$8:$N$8,0))/1000)</f>
        <v>0</v>
      </c>
      <c r="E39" s="393">
        <v>0</v>
      </c>
      <c r="F39" s="331">
        <f>E39*(INDEX('Ex ante LI &amp; Eligibility Stats'!$A:$M,MATCH('Program MW '!$A39,'Ex ante LI &amp; Eligibility Stats'!$A:$A,0),MATCH('Program MW '!F$28,'Ex ante LI &amp; Eligibility Stats'!$A$8:$M$8,0))/1000)</f>
        <v>0</v>
      </c>
      <c r="G39" s="332">
        <f>E39*(INDEX('Ex post LI &amp; Eligibility Stats'!$A:$N,MATCH($A39,'Ex post LI &amp; Eligibility Stats'!$A:$A,0),MATCH('Program MW '!F$28,'Ex post LI &amp; Eligibility Stats'!$A$8:$N$8,0))/1000)</f>
        <v>0</v>
      </c>
      <c r="H39" s="393">
        <v>0</v>
      </c>
      <c r="I39" s="331">
        <f>H39*(INDEX('Ex ante LI &amp; Eligibility Stats'!$A:$M,MATCH('Program MW '!$A39,'Ex ante LI &amp; Eligibility Stats'!$A:$A,0),MATCH('Program MW '!I$28,'Ex ante LI &amp; Eligibility Stats'!$A$8:$M$8,0))/1000)</f>
        <v>0</v>
      </c>
      <c r="J39" s="332">
        <f>H39*(INDEX('Ex post LI &amp; Eligibility Stats'!$A:$N,MATCH($A39,'Ex post LI &amp; Eligibility Stats'!$A:$A,0),MATCH('Program MW '!I$28,'Ex post LI &amp; Eligibility Stats'!$A$8:$N$8,0))/1000)</f>
        <v>0</v>
      </c>
      <c r="K39" s="393">
        <v>0</v>
      </c>
      <c r="L39" s="331">
        <f>K39*(INDEX('Ex ante LI &amp; Eligibility Stats'!$A:$M,MATCH('Program MW '!$A39,'Ex ante LI &amp; Eligibility Stats'!$A:$A,0),MATCH('Program MW '!L$28,'Ex ante LI &amp; Eligibility Stats'!$A$8:$M$8,0))/1000)</f>
        <v>0</v>
      </c>
      <c r="M39" s="332">
        <f>K39*(INDEX('Ex post LI &amp; Eligibility Stats'!$A:$N,MATCH($A39,'Ex post LI &amp; Eligibility Stats'!$A:$A,0),MATCH('Program MW '!L$28,'Ex post LI &amp; Eligibility Stats'!$A$8:$N$8,0))/1000)</f>
        <v>0</v>
      </c>
      <c r="N39" s="393">
        <v>0</v>
      </c>
      <c r="O39" s="331">
        <f>N39*(INDEX('Ex ante LI &amp; Eligibility Stats'!$A:$M,MATCH('Program MW '!$A39,'Ex ante LI &amp; Eligibility Stats'!$A:$A,0),MATCH('Program MW '!O$28,'Ex ante LI &amp; Eligibility Stats'!$A$8:$M$8,0))/1000)</f>
        <v>0</v>
      </c>
      <c r="P39" s="332">
        <f>N39*(INDEX('Ex post LI &amp; Eligibility Stats'!$A:$N,MATCH($A39,'Ex post LI &amp; Eligibility Stats'!$A:$A,0),MATCH('Program MW '!O$28,'Ex post LI &amp; Eligibility Stats'!$A$8:$N$8,0))/1000)</f>
        <v>0</v>
      </c>
      <c r="Q39" s="393">
        <v>0</v>
      </c>
      <c r="R39" s="331">
        <f>Q39*(INDEX('Ex ante LI &amp; Eligibility Stats'!$A:$M,MATCH('Program MW '!$A39,'Ex ante LI &amp; Eligibility Stats'!$A:$A,0),MATCH('Program MW '!R$28,'Ex ante LI &amp; Eligibility Stats'!$A$8:$M$8,0))/1000)</f>
        <v>0</v>
      </c>
      <c r="S39" s="332">
        <f>Q39*(INDEX('Ex post LI &amp; Eligibility Stats'!$A:$N,MATCH($A39,'Ex post LI &amp; Eligibility Stats'!$A:$A,0),MATCH('Program MW '!R$28,'Ex post LI &amp; Eligibility Stats'!$A$8:$N$8,0))/1000)</f>
        <v>0</v>
      </c>
      <c r="T39" s="4">
        <v>157189</v>
      </c>
    </row>
    <row r="40" spans="1:26">
      <c r="A40" s="85" t="s">
        <v>24</v>
      </c>
      <c r="B40" s="159">
        <v>0</v>
      </c>
      <c r="C40" s="331">
        <f>B40*(INDEX('Ex ante LI &amp; Eligibility Stats'!$A:$M,MATCH('Program MW '!$A40,'Ex ante LI &amp; Eligibility Stats'!$A:$A,0),MATCH('Program MW '!C$28,'Ex ante LI &amp; Eligibility Stats'!$A$8:$M$8,0))/1000)</f>
        <v>0</v>
      </c>
      <c r="D40" s="332">
        <f>B40*(INDEX('Ex post LI &amp; Eligibility Stats'!$A:$N,MATCH($A40,'Ex post LI &amp; Eligibility Stats'!$A:$A,0),MATCH('Program MW '!C$28,'Ex post LI &amp; Eligibility Stats'!$A$8:$N$8,0))/1000)</f>
        <v>0</v>
      </c>
      <c r="E40" s="159">
        <v>0</v>
      </c>
      <c r="F40" s="331">
        <f>E40*(INDEX('Ex ante LI &amp; Eligibility Stats'!$A:$M,MATCH('Program MW '!$A40,'Ex ante LI &amp; Eligibility Stats'!$A:$A,0),MATCH('Program MW '!F$28,'Ex ante LI &amp; Eligibility Stats'!$A$8:$M$8,0))/1000)</f>
        <v>0</v>
      </c>
      <c r="G40" s="332">
        <f>E40*(INDEX('Ex post LI &amp; Eligibility Stats'!$A:$N,MATCH($A40,'Ex post LI &amp; Eligibility Stats'!$A:$A,0),MATCH('Program MW '!F$28,'Ex post LI &amp; Eligibility Stats'!$A$8:$N$8,0))/1000)</f>
        <v>0</v>
      </c>
      <c r="H40" s="159">
        <v>0</v>
      </c>
      <c r="I40" s="331">
        <f>H40*(INDEX('Ex ante LI &amp; Eligibility Stats'!$A:$M,MATCH('Program MW '!$A40,'Ex ante LI &amp; Eligibility Stats'!$A:$A,0),MATCH('Program MW '!I$28,'Ex ante LI &amp; Eligibility Stats'!$A$8:$M$8,0))/1000)</f>
        <v>0</v>
      </c>
      <c r="J40" s="332">
        <f>H40*(INDEX('Ex post LI &amp; Eligibility Stats'!$A:$N,MATCH($A40,'Ex post LI &amp; Eligibility Stats'!$A:$A,0),MATCH('Program MW '!I$28,'Ex post LI &amp; Eligibility Stats'!$A$8:$N$8,0))/1000)</f>
        <v>0</v>
      </c>
      <c r="K40" s="159">
        <v>0</v>
      </c>
      <c r="L40" s="331">
        <f>K40*(INDEX('Ex ante LI &amp; Eligibility Stats'!$A:$M,MATCH('Program MW '!$A40,'Ex ante LI &amp; Eligibility Stats'!$A:$A,0),MATCH('Program MW '!L$28,'Ex ante LI &amp; Eligibility Stats'!$A$8:$M$8,0))/1000)</f>
        <v>0</v>
      </c>
      <c r="M40" s="332">
        <f>K40*(INDEX('Ex post LI &amp; Eligibility Stats'!$A:$N,MATCH($A40,'Ex post LI &amp; Eligibility Stats'!$A:$A,0),MATCH('Program MW '!L$28,'Ex post LI &amp; Eligibility Stats'!$A$8:$N$8,0))/1000)</f>
        <v>0</v>
      </c>
      <c r="N40" s="159">
        <v>0</v>
      </c>
      <c r="O40" s="331">
        <f>N40*(INDEX('Ex ante LI &amp; Eligibility Stats'!$A:$M,MATCH('Program MW '!$A40,'Ex ante LI &amp; Eligibility Stats'!$A:$A,0),MATCH('Program MW '!O$28,'Ex ante LI &amp; Eligibility Stats'!$A$8:$M$8,0))/1000)</f>
        <v>0</v>
      </c>
      <c r="P40" s="332">
        <f>N40*(INDEX('Ex post LI &amp; Eligibility Stats'!$A:$N,MATCH($A40,'Ex post LI &amp; Eligibility Stats'!$A:$A,0),MATCH('Program MW '!O$28,'Ex post LI &amp; Eligibility Stats'!$A$8:$N$8,0))/1000)</f>
        <v>0</v>
      </c>
      <c r="Q40" s="159">
        <v>0</v>
      </c>
      <c r="R40" s="331">
        <f>Q40*(INDEX('Ex ante LI &amp; Eligibility Stats'!$A:$M,MATCH('Program MW '!$A40,'Ex ante LI &amp; Eligibility Stats'!$A:$A,0),MATCH('Program MW '!R$28,'Ex ante LI &amp; Eligibility Stats'!$A$8:$M$8,0))/1000)</f>
        <v>0</v>
      </c>
      <c r="S40" s="332">
        <f>Q40*(INDEX('Ex post LI &amp; Eligibility Stats'!$A:$N,MATCH($A40,'Ex post LI &amp; Eligibility Stats'!$A:$A,0),MATCH('Program MW '!R$28,'Ex post LI &amp; Eligibility Stats'!$A$8:$N$8,0))/1000)</f>
        <v>0</v>
      </c>
      <c r="T40" s="4">
        <v>18875</v>
      </c>
      <c r="V40" s="416" t="s">
        <v>56</v>
      </c>
    </row>
    <row r="41" spans="1:26">
      <c r="A41" s="85" t="s">
        <v>25</v>
      </c>
      <c r="B41" s="159">
        <v>0</v>
      </c>
      <c r="C41" s="331">
        <f>B41*(INDEX('Ex ante LI &amp; Eligibility Stats'!$A:$M,MATCH('Program MW '!$A41,'Ex ante LI &amp; Eligibility Stats'!$A:$A,0),MATCH('Program MW '!C$28,'Ex ante LI &amp; Eligibility Stats'!$A$8:$M$8,0))/1000)</f>
        <v>0</v>
      </c>
      <c r="D41" s="332">
        <f>B41*(INDEX('Ex post LI &amp; Eligibility Stats'!$A:$N,MATCH($A41,'Ex post LI &amp; Eligibility Stats'!$A:$A,0),MATCH('Program MW '!C$28,'Ex post LI &amp; Eligibility Stats'!$A$8:$N$8,0))/1000)</f>
        <v>0</v>
      </c>
      <c r="E41" s="159">
        <v>0</v>
      </c>
      <c r="F41" s="331">
        <f>E41*(INDEX('Ex ante LI &amp; Eligibility Stats'!$A:$M,MATCH('Program MW '!$A41,'Ex ante LI &amp; Eligibility Stats'!$A:$A,0),MATCH('Program MW '!F$28,'Ex ante LI &amp; Eligibility Stats'!$A$8:$M$8,0))/1000)</f>
        <v>0</v>
      </c>
      <c r="G41" s="332">
        <f>E41*(INDEX('Ex post LI &amp; Eligibility Stats'!$A:$N,MATCH($A41,'Ex post LI &amp; Eligibility Stats'!$A:$A,0),MATCH('Program MW '!F$28,'Ex post LI &amp; Eligibility Stats'!$A$8:$N$8,0))/1000)</f>
        <v>0</v>
      </c>
      <c r="H41" s="159">
        <v>0</v>
      </c>
      <c r="I41" s="331">
        <f>H41*(INDEX('Ex ante LI &amp; Eligibility Stats'!$A:$M,MATCH('Program MW '!$A41,'Ex ante LI &amp; Eligibility Stats'!$A:$A,0),MATCH('Program MW '!I$28,'Ex ante LI &amp; Eligibility Stats'!$A$8:$M$8,0))/1000)</f>
        <v>0</v>
      </c>
      <c r="J41" s="332">
        <f>H41*(INDEX('Ex post LI &amp; Eligibility Stats'!$A:$N,MATCH($A41,'Ex post LI &amp; Eligibility Stats'!$A:$A,0),MATCH('Program MW '!I$28,'Ex post LI &amp; Eligibility Stats'!$A$8:$N$8,0))/1000)</f>
        <v>0</v>
      </c>
      <c r="K41" s="159">
        <v>0</v>
      </c>
      <c r="L41" s="331">
        <f>K41*(INDEX('Ex ante LI &amp; Eligibility Stats'!$A:$M,MATCH('Program MW '!$A41,'Ex ante LI &amp; Eligibility Stats'!$A:$A,0),MATCH('Program MW '!L$28,'Ex ante LI &amp; Eligibility Stats'!$A$8:$M$8,0))/1000)</f>
        <v>0</v>
      </c>
      <c r="M41" s="332">
        <f>K41*(INDEX('Ex post LI &amp; Eligibility Stats'!$A:$N,MATCH($A41,'Ex post LI &amp; Eligibility Stats'!$A:$A,0),MATCH('Program MW '!L$28,'Ex post LI &amp; Eligibility Stats'!$A$8:$N$8,0))/1000)</f>
        <v>0</v>
      </c>
      <c r="N41" s="159">
        <v>0</v>
      </c>
      <c r="O41" s="331">
        <f>N41*(INDEX('Ex ante LI &amp; Eligibility Stats'!$A:$M,MATCH('Program MW '!$A41,'Ex ante LI &amp; Eligibility Stats'!$A:$A,0),MATCH('Program MW '!O$28,'Ex ante LI &amp; Eligibility Stats'!$A$8:$M$8,0))/1000)</f>
        <v>0</v>
      </c>
      <c r="P41" s="332">
        <f>N41*(INDEX('Ex post LI &amp; Eligibility Stats'!$A:$N,MATCH($A41,'Ex post LI &amp; Eligibility Stats'!$A:$A,0),MATCH('Program MW '!O$28,'Ex post LI &amp; Eligibility Stats'!$A$8:$N$8,0))/1000)</f>
        <v>0</v>
      </c>
      <c r="Q41" s="159">
        <v>0</v>
      </c>
      <c r="R41" s="331">
        <f>Q41*(INDEX('Ex ante LI &amp; Eligibility Stats'!$A:$M,MATCH('Program MW '!$A41,'Ex ante LI &amp; Eligibility Stats'!$A:$A,0),MATCH('Program MW '!R$28,'Ex ante LI &amp; Eligibility Stats'!$A$8:$M$8,0))/1000)</f>
        <v>0</v>
      </c>
      <c r="S41" s="332">
        <f>Q41*(INDEX('Ex post LI &amp; Eligibility Stats'!$A:$N,MATCH($A41,'Ex post LI &amp; Eligibility Stats'!$A:$A,0),MATCH('Program MW '!R$28,'Ex post LI &amp; Eligibility Stats'!$A$8:$N$8,0))/1000)</f>
        <v>0</v>
      </c>
      <c r="T41" s="4">
        <v>18875</v>
      </c>
    </row>
    <row r="42" spans="1:26" s="152" customFormat="1">
      <c r="A42" s="274" t="s">
        <v>55</v>
      </c>
      <c r="B42" s="206">
        <v>0</v>
      </c>
      <c r="C42" s="331">
        <f>B42*(INDEX('Ex ante LI &amp; Eligibility Stats'!$A:$M,MATCH('Program MW '!$A42,'Ex ante LI &amp; Eligibility Stats'!$A:$A,0),MATCH('Program MW '!C$28,'Ex ante LI &amp; Eligibility Stats'!$A$8:$M$8,0))/1000)</f>
        <v>0</v>
      </c>
      <c r="D42" s="332">
        <f>B42*(INDEX('Ex post LI &amp; Eligibility Stats'!$A:$N,MATCH($A42,'Ex post LI &amp; Eligibility Stats'!$A:$A,0),MATCH('Program MW '!C$28,'Ex post LI &amp; Eligibility Stats'!$A$8:$N$8,0))/1000)</f>
        <v>0</v>
      </c>
      <c r="E42" s="206">
        <v>0</v>
      </c>
      <c r="F42" s="331">
        <f>E42*(INDEX('Ex ante LI &amp; Eligibility Stats'!$A:$M,MATCH('Program MW '!$A42,'Ex ante LI &amp; Eligibility Stats'!$A:$A,0),MATCH('Program MW '!F$28,'Ex ante LI &amp; Eligibility Stats'!$A$8:$M$8,0))/1000)</f>
        <v>0</v>
      </c>
      <c r="G42" s="332">
        <f>E42*(INDEX('Ex post LI &amp; Eligibility Stats'!$A:$N,MATCH($A42,'Ex post LI &amp; Eligibility Stats'!$A:$A,0),MATCH('Program MW '!F$28,'Ex post LI &amp; Eligibility Stats'!$A$8:$N$8,0))/1000)</f>
        <v>0</v>
      </c>
      <c r="H42" s="206">
        <v>0</v>
      </c>
      <c r="I42" s="331">
        <f>H42*(INDEX('Ex ante LI &amp; Eligibility Stats'!$A:$M,MATCH('Program MW '!$A42,'Ex ante LI &amp; Eligibility Stats'!$A:$A,0),MATCH('Program MW '!I$28,'Ex ante LI &amp; Eligibility Stats'!$A$8:$M$8,0))/1000)</f>
        <v>0</v>
      </c>
      <c r="J42" s="332">
        <f>H42*(INDEX('Ex post LI &amp; Eligibility Stats'!$A:$N,MATCH($A42,'Ex post LI &amp; Eligibility Stats'!$A:$A,0),MATCH('Program MW '!I$28,'Ex post LI &amp; Eligibility Stats'!$A$8:$N$8,0))/1000)</f>
        <v>0</v>
      </c>
      <c r="K42" s="206">
        <v>0</v>
      </c>
      <c r="L42" s="331">
        <f>K42*(INDEX('Ex ante LI &amp; Eligibility Stats'!$A:$M,MATCH('Program MW '!$A42,'Ex ante LI &amp; Eligibility Stats'!$A:$A,0),MATCH('Program MW '!L$28,'Ex ante LI &amp; Eligibility Stats'!$A$8:$M$8,0))/1000)</f>
        <v>0</v>
      </c>
      <c r="M42" s="332">
        <f>K42*(INDEX('Ex post LI &amp; Eligibility Stats'!$A:$N,MATCH($A42,'Ex post LI &amp; Eligibility Stats'!$A:$A,0),MATCH('Program MW '!L$28,'Ex post LI &amp; Eligibility Stats'!$A$8:$N$8,0))/1000)</f>
        <v>0</v>
      </c>
      <c r="N42" s="206">
        <v>0</v>
      </c>
      <c r="O42" s="331">
        <f>N42*(INDEX('Ex ante LI &amp; Eligibility Stats'!$A:$M,MATCH('Program MW '!$A42,'Ex ante LI &amp; Eligibility Stats'!$A:$A,0),MATCH('Program MW '!O$28,'Ex ante LI &amp; Eligibility Stats'!$A$8:$M$8,0))/1000)</f>
        <v>0</v>
      </c>
      <c r="P42" s="332">
        <f>N42*(INDEX('Ex post LI &amp; Eligibility Stats'!$A:$N,MATCH($A42,'Ex post LI &amp; Eligibility Stats'!$A:$A,0),MATCH('Program MW '!O$28,'Ex post LI &amp; Eligibility Stats'!$A$8:$N$8,0))/1000)</f>
        <v>0</v>
      </c>
      <c r="Q42" s="206">
        <v>0</v>
      </c>
      <c r="R42" s="331">
        <f>Q42*(INDEX('Ex ante LI &amp; Eligibility Stats'!$A:$M,MATCH('Program MW '!$A42,'Ex ante LI &amp; Eligibility Stats'!$A:$A,0),MATCH('Program MW '!R$28,'Ex ante LI &amp; Eligibility Stats'!$A$8:$M$8,0))/1000)</f>
        <v>0</v>
      </c>
      <c r="S42" s="332">
        <f>Q42*(INDEX('Ex post LI &amp; Eligibility Stats'!$A:$N,MATCH($A42,'Ex post LI &amp; Eligibility Stats'!$A:$A,0),MATCH('Program MW '!R$28,'Ex post LI &amp; Eligibility Stats'!$A$8:$N$8,0))/1000)</f>
        <v>0</v>
      </c>
      <c r="T42" s="423"/>
    </row>
    <row r="43" spans="1:26">
      <c r="A43" s="85" t="s">
        <v>26</v>
      </c>
      <c r="B43" s="159">
        <v>0</v>
      </c>
      <c r="C43" s="331">
        <f>B43*(INDEX('Ex ante LI &amp; Eligibility Stats'!$A:$M,MATCH('Program MW '!$A43,'Ex ante LI &amp; Eligibility Stats'!$A:$A,0),MATCH('Program MW '!C$28,'Ex ante LI &amp; Eligibility Stats'!$A$8:$M$8,0))/1000)</f>
        <v>0</v>
      </c>
      <c r="D43" s="332">
        <f>B43*(INDEX('Ex post LI &amp; Eligibility Stats'!$A:$N,MATCH($A43,'Ex post LI &amp; Eligibility Stats'!$A:$A,0),MATCH('Program MW '!C$28,'Ex post LI &amp; Eligibility Stats'!$A$8:$N$8,0))/1000)</f>
        <v>0</v>
      </c>
      <c r="E43" s="159">
        <v>0</v>
      </c>
      <c r="F43" s="331">
        <f>E43*(INDEX('Ex ante LI &amp; Eligibility Stats'!$A:$M,MATCH('Program MW '!$A43,'Ex ante LI &amp; Eligibility Stats'!$A:$A,0),MATCH('Program MW '!F$28,'Ex ante LI &amp; Eligibility Stats'!$A$8:$M$8,0))/1000)</f>
        <v>0</v>
      </c>
      <c r="G43" s="332">
        <f>E43*(INDEX('Ex post LI &amp; Eligibility Stats'!$A:$N,MATCH($A43,'Ex post LI &amp; Eligibility Stats'!$A:$A,0),MATCH('Program MW '!F$28,'Ex post LI &amp; Eligibility Stats'!$A$8:$N$8,0))/1000)</f>
        <v>0</v>
      </c>
      <c r="H43" s="159">
        <v>0</v>
      </c>
      <c r="I43" s="331">
        <f>H43*(INDEX('Ex ante LI &amp; Eligibility Stats'!$A:$M,MATCH('Program MW '!$A43,'Ex ante LI &amp; Eligibility Stats'!$A:$A,0),MATCH('Program MW '!I$28,'Ex ante LI &amp; Eligibility Stats'!$A$8:$M$8,0))/1000)</f>
        <v>0</v>
      </c>
      <c r="J43" s="332">
        <f>H43*(INDEX('Ex post LI &amp; Eligibility Stats'!$A:$N,MATCH($A43,'Ex post LI &amp; Eligibility Stats'!$A:$A,0),MATCH('Program MW '!I$28,'Ex post LI &amp; Eligibility Stats'!$A$8:$N$8,0))/1000)</f>
        <v>0</v>
      </c>
      <c r="K43" s="159">
        <v>0</v>
      </c>
      <c r="L43" s="331">
        <f>K43*(INDEX('Ex ante LI &amp; Eligibility Stats'!$A:$M,MATCH('Program MW '!$A43,'Ex ante LI &amp; Eligibility Stats'!$A:$A,0),MATCH('Program MW '!L$28,'Ex ante LI &amp; Eligibility Stats'!$A$8:$M$8,0))/1000)</f>
        <v>0</v>
      </c>
      <c r="M43" s="332">
        <f>K43*(INDEX('Ex post LI &amp; Eligibility Stats'!$A:$N,MATCH($A43,'Ex post LI &amp; Eligibility Stats'!$A:$A,0),MATCH('Program MW '!L$28,'Ex post LI &amp; Eligibility Stats'!$A$8:$N$8,0))/1000)</f>
        <v>0</v>
      </c>
      <c r="N43" s="159">
        <v>0</v>
      </c>
      <c r="O43" s="331">
        <f>N43*(INDEX('Ex ante LI &amp; Eligibility Stats'!$A:$M,MATCH('Program MW '!$A43,'Ex ante LI &amp; Eligibility Stats'!$A:$A,0),MATCH('Program MW '!O$28,'Ex ante LI &amp; Eligibility Stats'!$A$8:$M$8,0))/1000)</f>
        <v>0</v>
      </c>
      <c r="P43" s="332">
        <f>N43*(INDEX('Ex post LI &amp; Eligibility Stats'!$A:$N,MATCH($A43,'Ex post LI &amp; Eligibility Stats'!$A:$A,0),MATCH('Program MW '!O$28,'Ex post LI &amp; Eligibility Stats'!$A$8:$N$8,0))/1000)</f>
        <v>0</v>
      </c>
      <c r="Q43" s="159">
        <v>0</v>
      </c>
      <c r="R43" s="331">
        <f>Q43*(INDEX('Ex ante LI &amp; Eligibility Stats'!$A:$M,MATCH('Program MW '!$A43,'Ex ante LI &amp; Eligibility Stats'!$A:$A,0),MATCH('Program MW '!R$28,'Ex ante LI &amp; Eligibility Stats'!$A$8:$M$8,0))/1000)</f>
        <v>0</v>
      </c>
      <c r="S43" s="332">
        <f>Q43*(INDEX('Ex post LI &amp; Eligibility Stats'!$A:$N,MATCH($A43,'Ex post LI &amp; Eligibility Stats'!$A:$A,0),MATCH('Program MW '!R$28,'Ex post LI &amp; Eligibility Stats'!$A$8:$N$8,0))/1000)</f>
        <v>0</v>
      </c>
      <c r="T43" s="4"/>
    </row>
    <row r="44" spans="1:26">
      <c r="A44" s="42" t="s">
        <v>27</v>
      </c>
      <c r="B44" s="272">
        <v>0</v>
      </c>
      <c r="C44" s="331">
        <f>B44*(INDEX('Ex ante LI &amp; Eligibility Stats'!$A:$M,MATCH('Program MW '!$A44,'Ex ante LI &amp; Eligibility Stats'!$A:$A,0),MATCH('Program MW '!C$28,'Ex ante LI &amp; Eligibility Stats'!$A$8:$M$8,0))/1000)</f>
        <v>0</v>
      </c>
      <c r="D44" s="332">
        <f>B44*(INDEX('Ex post LI &amp; Eligibility Stats'!$A:$N,MATCH($A44,'Ex post LI &amp; Eligibility Stats'!$A:$A,0),MATCH('Program MW '!C$28,'Ex post LI &amp; Eligibility Stats'!$A$8:$N$8,0))/1000)</f>
        <v>0</v>
      </c>
      <c r="E44" s="272">
        <v>0</v>
      </c>
      <c r="F44" s="331">
        <f>E44*(INDEX('Ex ante LI &amp; Eligibility Stats'!$A:$M,MATCH('Program MW '!$A44,'Ex ante LI &amp; Eligibility Stats'!$A:$A,0),MATCH('Program MW '!F$28,'Ex ante LI &amp; Eligibility Stats'!$A$8:$M$8,0))/1000)</f>
        <v>0</v>
      </c>
      <c r="G44" s="332">
        <f>E44*(INDEX('Ex post LI &amp; Eligibility Stats'!$A:$N,MATCH($A44,'Ex post LI &amp; Eligibility Stats'!$A:$A,0),MATCH('Program MW '!F$28,'Ex post LI &amp; Eligibility Stats'!$A$8:$N$8,0))/1000)</f>
        <v>0</v>
      </c>
      <c r="H44" s="272">
        <v>0</v>
      </c>
      <c r="I44" s="331">
        <f>H44*(INDEX('Ex ante LI &amp; Eligibility Stats'!$A:$M,MATCH('Program MW '!$A44,'Ex ante LI &amp; Eligibility Stats'!$A:$A,0),MATCH('Program MW '!I$28,'Ex ante LI &amp; Eligibility Stats'!$A$8:$M$8,0))/1000)</f>
        <v>0</v>
      </c>
      <c r="J44" s="332">
        <f>H44*(INDEX('Ex post LI &amp; Eligibility Stats'!$A:$N,MATCH($A44,'Ex post LI &amp; Eligibility Stats'!$A:$A,0),MATCH('Program MW '!I$28,'Ex post LI &amp; Eligibility Stats'!$A$8:$N$8,0))/1000)</f>
        <v>0</v>
      </c>
      <c r="K44" s="272">
        <v>0</v>
      </c>
      <c r="L44" s="331">
        <f>K44*(INDEX('Ex ante LI &amp; Eligibility Stats'!$A:$M,MATCH('Program MW '!$A44,'Ex ante LI &amp; Eligibility Stats'!$A:$A,0),MATCH('Program MW '!L$28,'Ex ante LI &amp; Eligibility Stats'!$A$8:$M$8,0))/1000)</f>
        <v>0</v>
      </c>
      <c r="M44" s="332">
        <f>K44*(INDEX('Ex post LI &amp; Eligibility Stats'!$A:$N,MATCH($A44,'Ex post LI &amp; Eligibility Stats'!$A:$A,0),MATCH('Program MW '!L$28,'Ex post LI &amp; Eligibility Stats'!$A$8:$N$8,0))/1000)</f>
        <v>0</v>
      </c>
      <c r="N44" s="272">
        <v>0</v>
      </c>
      <c r="O44" s="331">
        <f>N44*(INDEX('Ex ante LI &amp; Eligibility Stats'!$A:$M,MATCH('Program MW '!$A44,'Ex ante LI &amp; Eligibility Stats'!$A:$A,0),MATCH('Program MW '!O$28,'Ex ante LI &amp; Eligibility Stats'!$A$8:$M$8,0))/1000)</f>
        <v>0</v>
      </c>
      <c r="P44" s="332">
        <f>N44*(INDEX('Ex post LI &amp; Eligibility Stats'!$A:$N,MATCH($A44,'Ex post LI &amp; Eligibility Stats'!$A:$A,0),MATCH('Program MW '!O$28,'Ex post LI &amp; Eligibility Stats'!$A$8:$N$8,0))/1000)</f>
        <v>0</v>
      </c>
      <c r="Q44" s="272">
        <v>0</v>
      </c>
      <c r="R44" s="331">
        <f>Q44*(INDEX('Ex ante LI &amp; Eligibility Stats'!$A:$M,MATCH('Program MW '!$A44,'Ex ante LI &amp; Eligibility Stats'!$A:$A,0),MATCH('Program MW '!R$28,'Ex ante LI &amp; Eligibility Stats'!$A$8:$M$8,0))/1000)</f>
        <v>0</v>
      </c>
      <c r="S44" s="332">
        <f>Q44*(INDEX('Ex post LI &amp; Eligibility Stats'!$A:$N,MATCH($A44,'Ex post LI &amp; Eligibility Stats'!$A:$A,0),MATCH('Program MW '!R$28,'Ex post LI &amp; Eligibility Stats'!$A$8:$N$8,0))/1000)</f>
        <v>0</v>
      </c>
      <c r="T44" s="4"/>
    </row>
    <row r="45" spans="1:26" ht="13.5" thickBot="1">
      <c r="A45" s="184" t="s">
        <v>57</v>
      </c>
      <c r="B45" s="3">
        <f t="shared" ref="B45:S45" si="11">SUM(B34:B44)</f>
        <v>0</v>
      </c>
      <c r="C45" s="256">
        <f t="shared" si="11"/>
        <v>0</v>
      </c>
      <c r="D45" s="237">
        <f t="shared" si="11"/>
        <v>0</v>
      </c>
      <c r="E45" s="3">
        <f t="shared" si="11"/>
        <v>0</v>
      </c>
      <c r="F45" s="256">
        <f t="shared" si="11"/>
        <v>0</v>
      </c>
      <c r="G45" s="237">
        <f t="shared" si="11"/>
        <v>0</v>
      </c>
      <c r="H45" s="3">
        <f t="shared" si="11"/>
        <v>0</v>
      </c>
      <c r="I45" s="256">
        <f t="shared" si="11"/>
        <v>0</v>
      </c>
      <c r="J45" s="237">
        <f t="shared" si="11"/>
        <v>0</v>
      </c>
      <c r="K45" s="3">
        <f t="shared" si="11"/>
        <v>0</v>
      </c>
      <c r="L45" s="256">
        <f t="shared" si="11"/>
        <v>0</v>
      </c>
      <c r="M45" s="237">
        <f t="shared" si="11"/>
        <v>0</v>
      </c>
      <c r="N45" s="3">
        <f t="shared" si="11"/>
        <v>0</v>
      </c>
      <c r="O45" s="256">
        <f t="shared" si="11"/>
        <v>0</v>
      </c>
      <c r="P45" s="237">
        <f t="shared" si="11"/>
        <v>0</v>
      </c>
      <c r="Q45" s="3">
        <f t="shared" si="11"/>
        <v>0</v>
      </c>
      <c r="R45" s="256">
        <f t="shared" si="11"/>
        <v>0</v>
      </c>
      <c r="S45" s="237">
        <f t="shared" si="11"/>
        <v>0</v>
      </c>
      <c r="T45" s="9"/>
    </row>
    <row r="46" spans="1:26" ht="14" thickTop="1" thickBot="1">
      <c r="A46" s="191" t="s">
        <v>58</v>
      </c>
      <c r="B46" s="2">
        <f t="shared" ref="B46:S46" si="12">+B32+B45</f>
        <v>0</v>
      </c>
      <c r="C46" s="257">
        <f t="shared" si="12"/>
        <v>0</v>
      </c>
      <c r="D46" s="236">
        <f t="shared" si="12"/>
        <v>0</v>
      </c>
      <c r="E46" s="2">
        <f t="shared" si="12"/>
        <v>0</v>
      </c>
      <c r="F46" s="257">
        <f t="shared" si="12"/>
        <v>0</v>
      </c>
      <c r="G46" s="236">
        <f t="shared" si="12"/>
        <v>0</v>
      </c>
      <c r="H46" s="2">
        <f t="shared" si="12"/>
        <v>0</v>
      </c>
      <c r="I46" s="257">
        <f t="shared" si="12"/>
        <v>0</v>
      </c>
      <c r="J46" s="236">
        <f t="shared" si="12"/>
        <v>0</v>
      </c>
      <c r="K46" s="2">
        <f t="shared" si="12"/>
        <v>0</v>
      </c>
      <c r="L46" s="257">
        <f t="shared" si="12"/>
        <v>0</v>
      </c>
      <c r="M46" s="236">
        <f t="shared" si="12"/>
        <v>0</v>
      </c>
      <c r="N46" s="2">
        <f t="shared" si="12"/>
        <v>0</v>
      </c>
      <c r="O46" s="257">
        <f t="shared" si="12"/>
        <v>0</v>
      </c>
      <c r="P46" s="236">
        <f t="shared" si="12"/>
        <v>0</v>
      </c>
      <c r="Q46" s="2">
        <f t="shared" si="12"/>
        <v>0</v>
      </c>
      <c r="R46" s="257">
        <f t="shared" si="12"/>
        <v>0</v>
      </c>
      <c r="S46" s="236">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7" t="s">
        <v>63</v>
      </c>
      <c r="B48" s="192"/>
      <c r="C48" s="192"/>
      <c r="D48" s="192"/>
      <c r="E48" s="397"/>
      <c r="F48" s="193"/>
      <c r="G48" s="192"/>
      <c r="H48" s="193"/>
      <c r="I48" s="192"/>
      <c r="J48" s="192"/>
      <c r="K48" s="192"/>
      <c r="L48" s="192"/>
      <c r="M48" s="192"/>
      <c r="N48" s="192"/>
      <c r="O48" s="192"/>
      <c r="P48" s="194"/>
      <c r="Q48" s="192"/>
      <c r="R48" s="192"/>
      <c r="S48" s="192"/>
      <c r="T48" s="13"/>
      <c r="U48" s="13"/>
      <c r="V48" s="13"/>
      <c r="W48" s="13"/>
      <c r="X48" s="13"/>
      <c r="Y48" s="13"/>
      <c r="Z48" s="13"/>
    </row>
    <row r="49" spans="1:26" ht="19.5" customHeight="1">
      <c r="A49" s="664" t="s">
        <v>257</v>
      </c>
      <c r="B49" s="664"/>
      <c r="C49" s="664"/>
      <c r="D49" s="664"/>
      <c r="E49" s="664"/>
      <c r="F49" s="664"/>
      <c r="G49" s="664"/>
      <c r="H49" s="664"/>
      <c r="I49" s="664"/>
      <c r="J49" s="664"/>
      <c r="K49" s="664"/>
      <c r="L49" s="664"/>
      <c r="M49" s="664"/>
      <c r="N49" s="664"/>
      <c r="O49" s="664"/>
    </row>
    <row r="50" spans="1:26" ht="18" customHeight="1">
      <c r="A50" s="664" t="s">
        <v>258</v>
      </c>
      <c r="B50" s="664"/>
      <c r="C50" s="664"/>
      <c r="D50" s="664"/>
      <c r="E50" s="664"/>
      <c r="F50" s="664"/>
      <c r="G50" s="664"/>
      <c r="H50" s="664"/>
      <c r="I50" s="664"/>
      <c r="J50" s="664"/>
      <c r="K50" s="664"/>
      <c r="L50" s="664"/>
      <c r="M50" s="664"/>
      <c r="N50" s="664"/>
      <c r="O50" s="664"/>
      <c r="P50" s="13"/>
      <c r="Q50" s="13"/>
      <c r="R50" s="13"/>
      <c r="S50" s="13"/>
      <c r="T50" s="146"/>
      <c r="U50" s="146"/>
      <c r="V50" s="146"/>
      <c r="W50" s="146"/>
      <c r="X50" s="146"/>
      <c r="Y50" s="146"/>
      <c r="Z50" s="146"/>
    </row>
    <row r="51" spans="1:26" s="152" customFormat="1" ht="18" customHeight="1">
      <c r="A51" s="664" t="s">
        <v>259</v>
      </c>
      <c r="B51" s="664"/>
      <c r="C51" s="664"/>
      <c r="D51" s="664"/>
      <c r="E51" s="664"/>
      <c r="F51" s="664"/>
      <c r="G51" s="664"/>
      <c r="H51" s="664"/>
      <c r="I51" s="664"/>
      <c r="J51" s="664"/>
      <c r="K51" s="664"/>
      <c r="L51" s="664"/>
      <c r="M51" s="664"/>
      <c r="N51" s="664"/>
      <c r="O51" s="664"/>
      <c r="P51" s="394"/>
      <c r="Q51" s="394"/>
      <c r="R51" s="394"/>
      <c r="S51" s="394"/>
      <c r="T51" s="203"/>
      <c r="U51" s="203"/>
      <c r="V51" s="203"/>
      <c r="W51" s="203"/>
      <c r="X51" s="203"/>
      <c r="Y51" s="203"/>
      <c r="Z51" s="203"/>
    </row>
    <row r="52" spans="1:26" s="152" customFormat="1" ht="18" customHeight="1">
      <c r="A52" s="664" t="s">
        <v>294</v>
      </c>
      <c r="B52" s="664"/>
      <c r="C52" s="664"/>
      <c r="D52" s="664"/>
      <c r="E52" s="664"/>
      <c r="F52" s="664"/>
      <c r="G52" s="664"/>
      <c r="H52" s="664"/>
      <c r="I52" s="664"/>
      <c r="J52" s="664"/>
      <c r="K52" s="664"/>
      <c r="L52" s="664"/>
      <c r="M52" s="664"/>
      <c r="N52" s="664"/>
      <c r="O52" s="664"/>
      <c r="P52" s="394"/>
      <c r="Q52" s="394"/>
      <c r="R52" s="394"/>
      <c r="S52" s="394"/>
      <c r="T52" s="203"/>
      <c r="U52" s="203"/>
      <c r="V52" s="203"/>
      <c r="W52" s="203"/>
      <c r="X52" s="203"/>
      <c r="Y52" s="203"/>
      <c r="Z52" s="203"/>
    </row>
    <row r="53" spans="1:26" ht="14">
      <c r="A53" s="582" t="s">
        <v>64</v>
      </c>
      <c r="B53" s="565"/>
      <c r="C53" s="565"/>
      <c r="D53" s="565"/>
      <c r="E53" s="565"/>
      <c r="F53" s="565"/>
      <c r="G53" s="565"/>
      <c r="H53" s="565"/>
      <c r="I53" s="565"/>
      <c r="J53" s="565"/>
      <c r="K53" s="565"/>
      <c r="L53" s="565"/>
      <c r="M53" s="565"/>
      <c r="N53" s="565"/>
      <c r="O53" s="566"/>
    </row>
    <row r="54" spans="1:26" ht="14">
      <c r="A54" s="238" t="s">
        <v>65</v>
      </c>
      <c r="B54" s="565"/>
      <c r="C54" s="565"/>
      <c r="D54" s="565"/>
      <c r="E54" s="565"/>
      <c r="F54" s="565"/>
      <c r="G54" s="565"/>
      <c r="H54" s="565"/>
      <c r="I54" s="565"/>
      <c r="J54" s="565"/>
      <c r="K54" s="565"/>
      <c r="L54" s="565"/>
      <c r="M54" s="565"/>
      <c r="N54" s="565"/>
      <c r="O54" s="566"/>
    </row>
  </sheetData>
  <mergeCells count="4">
    <mergeCell ref="A49:O49"/>
    <mergeCell ref="A50:O50"/>
    <mergeCell ref="A51:O51"/>
    <mergeCell ref="A52:O52"/>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1"/>
  <sheetViews>
    <sheetView topLeftCell="A7" zoomScaleNormal="100" zoomScaleSheetLayoutView="100" workbookViewId="0">
      <pane xSplit="1" ySplit="2" topLeftCell="B9" activePane="bottomRight" state="frozen"/>
      <selection activeCell="A7" sqref="A7"/>
      <selection pane="topRight" activeCell="B7" sqref="B7"/>
      <selection pane="bottomLeft" activeCell="A9" sqref="A9"/>
      <selection pane="bottomRight" activeCell="A34" sqref="A34"/>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3" customWidth="1"/>
    <col min="15" max="15" width="149.54296875" customWidth="1"/>
  </cols>
  <sheetData>
    <row r="2" spans="1:16" ht="13">
      <c r="A2" s="38"/>
      <c r="H2" s="148" t="s">
        <v>39</v>
      </c>
      <c r="N2" s="354"/>
    </row>
    <row r="3" spans="1:16" ht="13">
      <c r="E3" s="355"/>
      <c r="H3" s="151" t="str">
        <f>'Program MW '!H3</f>
        <v>January 2021</v>
      </c>
      <c r="N3" s="354"/>
    </row>
    <row r="4" spans="1:16">
      <c r="E4" s="150"/>
      <c r="F4" s="150"/>
      <c r="G4" s="150"/>
      <c r="I4" s="150"/>
      <c r="N4" s="354"/>
    </row>
    <row r="5" spans="1:16" ht="13">
      <c r="B5" s="150"/>
      <c r="C5" s="150"/>
      <c r="D5" s="150"/>
      <c r="F5" s="149"/>
      <c r="N5" s="354"/>
      <c r="O5" s="41"/>
    </row>
    <row r="6" spans="1:16" ht="13">
      <c r="F6" s="149"/>
      <c r="N6" s="354"/>
    </row>
    <row r="7" spans="1:16" ht="13.5" customHeight="1">
      <c r="A7" s="665" t="s">
        <v>66</v>
      </c>
      <c r="B7" s="666"/>
      <c r="C7" s="666"/>
      <c r="D7" s="666"/>
      <c r="E7" s="666"/>
      <c r="F7" s="666"/>
      <c r="G7" s="666"/>
      <c r="H7" s="666"/>
      <c r="I7" s="666"/>
      <c r="J7" s="666"/>
      <c r="K7" s="666"/>
      <c r="L7" s="666"/>
      <c r="M7" s="666"/>
      <c r="N7" s="667"/>
      <c r="O7" s="396"/>
    </row>
    <row r="8" spans="1:16" ht="38.25" customHeight="1">
      <c r="A8" s="40" t="s">
        <v>1</v>
      </c>
      <c r="B8" s="434" t="s">
        <v>41</v>
      </c>
      <c r="C8" s="434" t="s">
        <v>42</v>
      </c>
      <c r="D8" s="434" t="s">
        <v>43</v>
      </c>
      <c r="E8" s="434" t="s">
        <v>44</v>
      </c>
      <c r="F8" s="434" t="s">
        <v>31</v>
      </c>
      <c r="G8" s="434" t="s">
        <v>45</v>
      </c>
      <c r="H8" s="434" t="s">
        <v>59</v>
      </c>
      <c r="I8" s="434" t="s">
        <v>67</v>
      </c>
      <c r="J8" s="434" t="s">
        <v>68</v>
      </c>
      <c r="K8" s="434" t="s">
        <v>61</v>
      </c>
      <c r="L8" s="434" t="s">
        <v>69</v>
      </c>
      <c r="M8" s="434" t="s">
        <v>62</v>
      </c>
      <c r="N8" s="432" t="s">
        <v>70</v>
      </c>
      <c r="O8" s="275" t="s">
        <v>71</v>
      </c>
    </row>
    <row r="9" spans="1:16" ht="75.75" customHeight="1">
      <c r="A9" s="435" t="s">
        <v>8</v>
      </c>
      <c r="B9" s="436">
        <v>147.93927001953125</v>
      </c>
      <c r="C9" s="436">
        <v>123.35836029052734</v>
      </c>
      <c r="D9" s="436"/>
      <c r="E9" s="436"/>
      <c r="F9" s="436"/>
      <c r="G9" s="436"/>
      <c r="H9" s="436"/>
      <c r="I9" s="436"/>
      <c r="J9" s="436"/>
      <c r="K9" s="436"/>
      <c r="L9" s="436"/>
      <c r="M9" s="436"/>
      <c r="N9" s="437">
        <v>5326</v>
      </c>
      <c r="O9" s="426" t="s">
        <v>253</v>
      </c>
      <c r="P9" s="436"/>
    </row>
    <row r="10" spans="1:16" ht="75.75" customHeight="1">
      <c r="A10" s="438" t="s">
        <v>11</v>
      </c>
      <c r="B10" s="439">
        <v>0.14000000000000001</v>
      </c>
      <c r="C10" s="439">
        <v>0.14000000000000001</v>
      </c>
      <c r="D10" s="436"/>
      <c r="E10" s="436"/>
      <c r="F10" s="436"/>
      <c r="G10" s="436"/>
      <c r="H10" s="436"/>
      <c r="I10" s="436"/>
      <c r="J10" s="436"/>
      <c r="K10" s="436"/>
      <c r="L10" s="436"/>
      <c r="M10" s="436"/>
      <c r="N10" s="440">
        <v>24298</v>
      </c>
      <c r="O10" s="426" t="s">
        <v>72</v>
      </c>
    </row>
    <row r="11" spans="1:16" ht="75.75" customHeight="1">
      <c r="A11" s="438" t="s">
        <v>17</v>
      </c>
      <c r="B11" s="439">
        <v>1.1249953786318656E-5</v>
      </c>
      <c r="C11" s="439">
        <v>2.6053535293613095E-6</v>
      </c>
      <c r="D11" s="436"/>
      <c r="E11" s="436"/>
      <c r="F11" s="436"/>
      <c r="G11" s="436"/>
      <c r="H11" s="436"/>
      <c r="I11" s="436"/>
      <c r="J11" s="436"/>
      <c r="K11" s="436"/>
      <c r="L11" s="436"/>
      <c r="M11" s="436"/>
      <c r="N11" s="441">
        <v>590220</v>
      </c>
      <c r="O11" s="426" t="s">
        <v>254</v>
      </c>
    </row>
    <row r="12" spans="1:16" ht="75.75" customHeight="1">
      <c r="A12" s="438" t="s">
        <v>20</v>
      </c>
      <c r="B12" s="439">
        <v>3.6358251236379147E-4</v>
      </c>
      <c r="C12" s="439">
        <v>8.4200954006519169E-5</v>
      </c>
      <c r="D12" s="436"/>
      <c r="E12" s="436"/>
      <c r="F12" s="436"/>
      <c r="G12" s="436"/>
      <c r="H12" s="436"/>
      <c r="I12" s="436"/>
      <c r="J12" s="436"/>
      <c r="K12" s="436"/>
      <c r="L12" s="436"/>
      <c r="M12" s="436"/>
      <c r="N12" s="441">
        <v>133226</v>
      </c>
      <c r="O12" s="426" t="s">
        <v>73</v>
      </c>
    </row>
    <row r="13" spans="1:16" ht="75.75" customHeight="1">
      <c r="A13" s="438" t="s">
        <v>21</v>
      </c>
      <c r="B13" s="442">
        <v>0</v>
      </c>
      <c r="C13" s="442">
        <v>0</v>
      </c>
      <c r="D13" s="436"/>
      <c r="E13" s="436"/>
      <c r="F13" s="436"/>
      <c r="G13" s="436"/>
      <c r="H13" s="436"/>
      <c r="I13" s="436"/>
      <c r="J13" s="436"/>
      <c r="K13" s="436"/>
      <c r="L13" s="436"/>
      <c r="M13" s="436"/>
      <c r="N13" s="441">
        <v>590220</v>
      </c>
      <c r="O13" s="426" t="s">
        <v>255</v>
      </c>
    </row>
    <row r="14" spans="1:16" ht="75.75" customHeight="1">
      <c r="A14" s="438" t="s">
        <v>23</v>
      </c>
      <c r="B14" s="442">
        <v>0</v>
      </c>
      <c r="C14" s="442">
        <v>0</v>
      </c>
      <c r="D14" s="436"/>
      <c r="E14" s="436"/>
      <c r="F14" s="436"/>
      <c r="G14" s="436"/>
      <c r="H14" s="436"/>
      <c r="I14" s="436"/>
      <c r="J14" s="436"/>
      <c r="K14" s="436"/>
      <c r="L14" s="436"/>
      <c r="M14" s="436"/>
      <c r="N14" s="441">
        <v>133226</v>
      </c>
      <c r="O14" s="426" t="s">
        <v>256</v>
      </c>
    </row>
    <row r="15" spans="1:16" ht="75.75" customHeight="1">
      <c r="A15" s="438" t="s">
        <v>24</v>
      </c>
      <c r="B15" s="442">
        <v>0</v>
      </c>
      <c r="C15" s="442">
        <v>0</v>
      </c>
      <c r="D15" s="436"/>
      <c r="E15" s="436"/>
      <c r="F15" s="436"/>
      <c r="G15" s="436"/>
      <c r="H15" s="436"/>
      <c r="I15" s="436"/>
      <c r="J15" s="436"/>
      <c r="K15" s="436"/>
      <c r="L15" s="436"/>
      <c r="M15" s="436"/>
      <c r="N15" s="440">
        <v>78368</v>
      </c>
      <c r="O15" s="426" t="s">
        <v>74</v>
      </c>
    </row>
    <row r="16" spans="1:16" ht="75.75" customHeight="1">
      <c r="A16" s="438" t="s">
        <v>25</v>
      </c>
      <c r="B16" s="442">
        <v>0</v>
      </c>
      <c r="C16" s="442">
        <v>0</v>
      </c>
      <c r="D16" s="436"/>
      <c r="E16" s="436"/>
      <c r="F16" s="436"/>
      <c r="G16" s="436"/>
      <c r="H16" s="436"/>
      <c r="I16" s="436"/>
      <c r="J16" s="436"/>
      <c r="K16" s="436"/>
      <c r="L16" s="436"/>
      <c r="M16" s="436"/>
      <c r="N16" s="440">
        <v>78368</v>
      </c>
      <c r="O16" s="426" t="s">
        <v>74</v>
      </c>
    </row>
    <row r="17" spans="1:15" ht="75.75" customHeight="1">
      <c r="A17" s="438" t="s">
        <v>27</v>
      </c>
      <c r="B17" s="439">
        <v>3.8699023425579071E-2</v>
      </c>
      <c r="C17" s="439">
        <v>3.4362420439720154E-2</v>
      </c>
      <c r="D17" s="436"/>
      <c r="E17" s="436"/>
      <c r="F17" s="436"/>
      <c r="G17" s="436"/>
      <c r="H17" s="436"/>
      <c r="I17" s="436"/>
      <c r="J17" s="436"/>
      <c r="K17" s="436"/>
      <c r="L17" s="436"/>
      <c r="M17" s="436"/>
      <c r="N17" s="440">
        <v>1292629</v>
      </c>
      <c r="O17" s="426" t="s">
        <v>75</v>
      </c>
    </row>
    <row r="18" spans="1:15" ht="160.5" customHeight="1">
      <c r="A18" s="584" t="s">
        <v>26</v>
      </c>
      <c r="B18" s="444">
        <v>0.01</v>
      </c>
      <c r="C18" s="444">
        <v>0.01</v>
      </c>
      <c r="D18" s="585"/>
      <c r="E18" s="585"/>
      <c r="F18" s="585"/>
      <c r="G18" s="585"/>
      <c r="H18" s="585"/>
      <c r="I18" s="585"/>
      <c r="J18" s="585"/>
      <c r="K18" s="585"/>
      <c r="L18" s="585"/>
      <c r="M18" s="585"/>
      <c r="N18" s="586">
        <v>120672</v>
      </c>
      <c r="O18" s="587" t="s">
        <v>75</v>
      </c>
    </row>
    <row r="19" spans="1:15" ht="50">
      <c r="A19" s="435" t="s">
        <v>55</v>
      </c>
      <c r="B19" s="588">
        <v>7.0191817358136177E-3</v>
      </c>
      <c r="C19" s="588">
        <v>7.0191817358136177E-3</v>
      </c>
      <c r="D19" s="588"/>
      <c r="E19" s="588"/>
      <c r="F19" s="588"/>
      <c r="G19" s="588"/>
      <c r="H19" s="588"/>
      <c r="I19" s="588"/>
      <c r="J19" s="588"/>
      <c r="K19" s="588"/>
      <c r="L19" s="588"/>
      <c r="M19" s="588"/>
      <c r="N19" s="589">
        <v>2822</v>
      </c>
      <c r="O19" s="276" t="s">
        <v>76</v>
      </c>
    </row>
    <row r="20" spans="1:15" s="427" customFormat="1" ht="51" customHeight="1">
      <c r="A20" s="467"/>
      <c r="B20" s="468"/>
      <c r="C20" s="468"/>
      <c r="D20" s="468"/>
      <c r="E20" s="468"/>
      <c r="F20" s="468"/>
      <c r="G20" s="468"/>
      <c r="H20" s="468"/>
      <c r="I20" s="468"/>
      <c r="J20" s="468"/>
      <c r="K20" s="468"/>
      <c r="L20" s="468"/>
      <c r="M20" s="468"/>
      <c r="N20" s="469"/>
      <c r="O20" s="431"/>
    </row>
    <row r="21" spans="1:15">
      <c r="A21" s="467"/>
      <c r="B21" s="468"/>
      <c r="C21" s="468"/>
      <c r="D21" s="468"/>
      <c r="E21" s="468"/>
      <c r="F21" s="468"/>
      <c r="G21" s="468"/>
      <c r="H21" s="468"/>
      <c r="I21" s="468"/>
      <c r="J21" s="468"/>
      <c r="K21" s="468"/>
      <c r="L21" s="468"/>
      <c r="M21" s="468"/>
      <c r="N21" s="470"/>
      <c r="O21" s="431"/>
    </row>
    <row r="22" spans="1:15" ht="14">
      <c r="A22" s="248" t="s">
        <v>63</v>
      </c>
      <c r="B22" s="356"/>
      <c r="C22" s="356"/>
      <c r="D22" s="356"/>
      <c r="E22" s="356"/>
      <c r="F22" s="357"/>
      <c r="G22" s="356"/>
      <c r="H22" s="357"/>
      <c r="I22" s="356"/>
      <c r="J22" s="356"/>
      <c r="K22" s="356"/>
      <c r="L22" s="356"/>
      <c r="M22" s="356"/>
      <c r="N22" s="354"/>
      <c r="O22" s="356"/>
    </row>
    <row r="23" spans="1:15" ht="18" customHeight="1">
      <c r="A23" s="670"/>
      <c r="B23" s="670"/>
      <c r="C23" s="670"/>
      <c r="D23" s="670"/>
      <c r="E23" s="670"/>
      <c r="F23" s="670"/>
      <c r="G23" s="670"/>
      <c r="H23" s="670"/>
      <c r="I23" s="670"/>
      <c r="J23" s="670"/>
      <c r="K23" s="670"/>
      <c r="L23" s="670"/>
      <c r="M23" s="670"/>
      <c r="N23" s="670"/>
      <c r="O23" s="670"/>
    </row>
    <row r="24" spans="1:15" ht="14">
      <c r="A24" s="668" t="s">
        <v>260</v>
      </c>
      <c r="B24" s="669"/>
      <c r="C24" s="669"/>
      <c r="D24" s="669"/>
      <c r="E24" s="669"/>
      <c r="F24" s="669"/>
      <c r="G24" s="669"/>
      <c r="H24" s="669"/>
      <c r="I24" s="669"/>
      <c r="J24" s="669"/>
      <c r="K24" s="669"/>
      <c r="L24" s="669"/>
      <c r="M24" s="669"/>
      <c r="N24" s="669"/>
      <c r="O24" s="669"/>
    </row>
    <row r="25" spans="1:15" ht="14">
      <c r="A25" s="668" t="s">
        <v>77</v>
      </c>
      <c r="B25" s="669"/>
      <c r="C25" s="669"/>
      <c r="D25" s="669"/>
      <c r="E25" s="669"/>
      <c r="F25" s="669"/>
      <c r="G25" s="669"/>
      <c r="H25" s="669"/>
      <c r="I25" s="669"/>
      <c r="J25" s="669"/>
      <c r="K25" s="669"/>
      <c r="L25" s="669"/>
      <c r="M25" s="669"/>
      <c r="N25" s="669"/>
      <c r="O25" s="590"/>
    </row>
    <row r="26" spans="1:15" ht="14">
      <c r="A26" s="591" t="s">
        <v>78</v>
      </c>
      <c r="B26" s="590"/>
      <c r="C26" s="590"/>
      <c r="D26" s="590"/>
      <c r="E26" s="590"/>
      <c r="F26" s="590"/>
      <c r="G26" s="41"/>
      <c r="H26" s="41"/>
      <c r="I26" s="41"/>
      <c r="J26" s="41"/>
      <c r="K26" s="41"/>
      <c r="L26" s="41"/>
      <c r="M26" s="41"/>
      <c r="N26" s="41"/>
      <c r="O26" s="41"/>
    </row>
    <row r="27" spans="1:15" s="150" customFormat="1" ht="14">
      <c r="A27" s="671" t="s">
        <v>261</v>
      </c>
      <c r="B27" s="672"/>
      <c r="C27" s="672"/>
      <c r="D27" s="672"/>
      <c r="E27" s="672"/>
      <c r="F27" s="672"/>
      <c r="G27" s="672"/>
      <c r="H27" s="672"/>
      <c r="I27" s="672"/>
      <c r="J27" s="672"/>
      <c r="K27" s="672"/>
      <c r="L27" s="672"/>
      <c r="M27" s="672"/>
      <c r="N27" s="672"/>
      <c r="O27" s="590"/>
    </row>
    <row r="28" spans="1:15" ht="14">
      <c r="A28" s="238" t="s">
        <v>65</v>
      </c>
      <c r="B28" s="595"/>
      <c r="C28" s="595"/>
      <c r="D28" s="595"/>
      <c r="E28" s="595"/>
      <c r="F28" s="595"/>
      <c r="G28" s="595"/>
      <c r="H28" s="595"/>
      <c r="I28" s="595"/>
      <c r="J28" s="595"/>
      <c r="K28" s="595"/>
      <c r="L28" s="595"/>
      <c r="M28" s="595"/>
      <c r="N28" s="595"/>
      <c r="O28" s="583" t="s">
        <v>80</v>
      </c>
    </row>
    <row r="29" spans="1:15" ht="14">
      <c r="A29" s="487"/>
      <c r="B29" s="445"/>
      <c r="C29" s="445"/>
      <c r="D29" s="445"/>
      <c r="E29" s="445"/>
      <c r="F29" s="445"/>
      <c r="G29" s="445"/>
      <c r="H29" s="445"/>
      <c r="I29" s="445"/>
      <c r="J29" s="445"/>
      <c r="K29" s="445"/>
      <c r="L29" s="445"/>
      <c r="M29" s="445"/>
      <c r="N29" s="445"/>
      <c r="O29" s="445"/>
    </row>
    <row r="30" spans="1:15">
      <c r="N30" s="354"/>
    </row>
    <row r="31" spans="1:15">
      <c r="N31" s="354"/>
    </row>
  </sheetData>
  <mergeCells count="5">
    <mergeCell ref="A7:N7"/>
    <mergeCell ref="A25:N25"/>
    <mergeCell ref="A24:O24"/>
    <mergeCell ref="A23:O23"/>
    <mergeCell ref="A27:N27"/>
  </mergeCells>
  <phoneticPr fontId="43"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zoomScaleNormal="100" zoomScaleSheetLayoutView="100" workbookViewId="0">
      <selection activeCell="A24" sqref="A24:N24"/>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1" bestFit="1" customWidth="1"/>
    <col min="15" max="15" width="149.54296875" customWidth="1"/>
  </cols>
  <sheetData>
    <row r="1" spans="1:16" ht="12.5">
      <c r="N1" s="358"/>
    </row>
    <row r="2" spans="1:16" ht="13">
      <c r="H2" s="148" t="s">
        <v>39</v>
      </c>
      <c r="N2" s="358"/>
    </row>
    <row r="3" spans="1:16" ht="13">
      <c r="H3" s="198" t="str">
        <f>'Program MW '!H3</f>
        <v>January 2021</v>
      </c>
      <c r="N3" s="358"/>
    </row>
    <row r="4" spans="1:16" ht="12.5">
      <c r="F4" s="150"/>
      <c r="G4" s="150"/>
      <c r="I4" s="150"/>
      <c r="N4" s="358"/>
      <c r="O4" s="41"/>
    </row>
    <row r="5" spans="1:16" ht="13">
      <c r="B5" s="150"/>
      <c r="C5" s="150"/>
      <c r="D5" s="150"/>
      <c r="F5" s="148"/>
      <c r="N5" s="358"/>
    </row>
    <row r="6" spans="1:16" ht="13">
      <c r="F6" s="148"/>
      <c r="N6" s="358"/>
    </row>
    <row r="7" spans="1:16" ht="22.5" customHeight="1">
      <c r="A7" s="673" t="s">
        <v>81</v>
      </c>
      <c r="B7" s="674"/>
      <c r="C7" s="674"/>
      <c r="D7" s="674"/>
      <c r="E7" s="674"/>
      <c r="F7" s="674"/>
      <c r="G7" s="674"/>
      <c r="H7" s="674"/>
      <c r="I7" s="674"/>
      <c r="J7" s="674"/>
      <c r="K7" s="674"/>
      <c r="L7" s="674"/>
      <c r="M7" s="674"/>
      <c r="N7" s="675"/>
      <c r="O7" s="39"/>
    </row>
    <row r="8" spans="1:16" ht="40.5" customHeight="1">
      <c r="A8" s="40" t="s">
        <v>1</v>
      </c>
      <c r="B8" s="434" t="s">
        <v>41</v>
      </c>
      <c r="C8" s="434" t="s">
        <v>42</v>
      </c>
      <c r="D8" s="434" t="s">
        <v>43</v>
      </c>
      <c r="E8" s="434" t="s">
        <v>44</v>
      </c>
      <c r="F8" s="434" t="s">
        <v>31</v>
      </c>
      <c r="G8" s="434" t="s">
        <v>45</v>
      </c>
      <c r="H8" s="434" t="s">
        <v>59</v>
      </c>
      <c r="I8" s="434" t="s">
        <v>67</v>
      </c>
      <c r="J8" s="434" t="s">
        <v>68</v>
      </c>
      <c r="K8" s="434" t="s">
        <v>61</v>
      </c>
      <c r="L8" s="434" t="s">
        <v>69</v>
      </c>
      <c r="M8" s="434" t="s">
        <v>62</v>
      </c>
      <c r="N8" s="433" t="str">
        <f>'Ex ante LI &amp; Eligibility Stats'!N8:N8</f>
        <v>Eligible Accounts as of January</v>
      </c>
      <c r="O8" s="275" t="s">
        <v>71</v>
      </c>
    </row>
    <row r="9" spans="1:16" ht="75.75" customHeight="1">
      <c r="A9" s="435" t="s">
        <v>8</v>
      </c>
      <c r="B9" s="436">
        <v>106.08</v>
      </c>
      <c r="C9" s="436">
        <v>106.08</v>
      </c>
      <c r="D9" s="436"/>
      <c r="E9" s="436"/>
      <c r="F9" s="436"/>
      <c r="G9" s="436"/>
      <c r="H9" s="436"/>
      <c r="I9" s="436"/>
      <c r="J9" s="436"/>
      <c r="K9" s="436"/>
      <c r="L9" s="436"/>
      <c r="M9" s="436"/>
      <c r="N9" s="443">
        <f>'Ex ante LI &amp; Eligibility Stats'!N9</f>
        <v>5326</v>
      </c>
      <c r="O9" s="276"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36"/>
    </row>
    <row r="10" spans="1:16" ht="75.75" customHeight="1">
      <c r="A10" s="596" t="s">
        <v>11</v>
      </c>
      <c r="B10" s="597">
        <v>0.4</v>
      </c>
      <c r="C10" s="597">
        <v>0.4</v>
      </c>
      <c r="D10" s="436"/>
      <c r="E10" s="436"/>
      <c r="F10" s="436"/>
      <c r="G10" s="436"/>
      <c r="H10" s="436"/>
      <c r="I10" s="436"/>
      <c r="J10" s="436"/>
      <c r="K10" s="436"/>
      <c r="L10" s="436"/>
      <c r="M10" s="436"/>
      <c r="N10" s="441">
        <f>'Ex ante LI &amp; Eligibility Stats'!N10</f>
        <v>24298</v>
      </c>
      <c r="O10" s="276"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38" t="s">
        <v>17</v>
      </c>
      <c r="B11" s="439">
        <v>0.32</v>
      </c>
      <c r="C11" s="439">
        <v>0.32</v>
      </c>
      <c r="D11" s="436"/>
      <c r="E11" s="436"/>
      <c r="F11" s="436"/>
      <c r="G11" s="436"/>
      <c r="H11" s="436"/>
      <c r="I11" s="436"/>
      <c r="J11" s="436"/>
      <c r="K11" s="436"/>
      <c r="L11" s="436"/>
      <c r="M11" s="436"/>
      <c r="N11" s="441">
        <f>'Ex ante LI &amp; Eligibility Stats'!N11</f>
        <v>590220</v>
      </c>
      <c r="O11" s="276"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38" t="s">
        <v>20</v>
      </c>
      <c r="B12" s="439">
        <v>0.46</v>
      </c>
      <c r="C12" s="439">
        <v>0.46</v>
      </c>
      <c r="D12" s="436"/>
      <c r="E12" s="436"/>
      <c r="F12" s="436"/>
      <c r="G12" s="436"/>
      <c r="H12" s="436"/>
      <c r="I12" s="436"/>
      <c r="J12" s="436"/>
      <c r="K12" s="436"/>
      <c r="L12" s="436"/>
      <c r="M12" s="436"/>
      <c r="N12" s="441">
        <f>'Ex ante LI &amp; Eligibility Stats'!N12</f>
        <v>133226</v>
      </c>
      <c r="O12" s="276"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38" t="s">
        <v>21</v>
      </c>
      <c r="B13" s="439">
        <v>0.13</v>
      </c>
      <c r="C13" s="439">
        <v>0.13</v>
      </c>
      <c r="D13" s="436"/>
      <c r="E13" s="436"/>
      <c r="F13" s="436"/>
      <c r="G13" s="436"/>
      <c r="H13" s="436"/>
      <c r="I13" s="436"/>
      <c r="J13" s="436"/>
      <c r="K13" s="436"/>
      <c r="L13" s="436"/>
      <c r="M13" s="436"/>
      <c r="N13" s="441">
        <f>'Ex ante LI &amp; Eligibility Stats'!N13</f>
        <v>590220</v>
      </c>
      <c r="O13" s="276"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38" t="s">
        <v>23</v>
      </c>
      <c r="B14" s="439">
        <v>0.05</v>
      </c>
      <c r="C14" s="439">
        <v>0.05</v>
      </c>
      <c r="D14" s="436"/>
      <c r="E14" s="436"/>
      <c r="F14" s="436"/>
      <c r="G14" s="436"/>
      <c r="H14" s="436"/>
      <c r="I14" s="436"/>
      <c r="J14" s="436"/>
      <c r="K14" s="436"/>
      <c r="L14" s="436"/>
      <c r="M14" s="436"/>
      <c r="N14" s="441">
        <f>'Ex ante LI &amp; Eligibility Stats'!N14</f>
        <v>133226</v>
      </c>
      <c r="O14" s="276"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96" t="s">
        <v>24</v>
      </c>
      <c r="B15" s="598">
        <v>18</v>
      </c>
      <c r="C15" s="598">
        <v>18</v>
      </c>
      <c r="D15" s="436"/>
      <c r="E15" s="436"/>
      <c r="F15" s="436"/>
      <c r="G15" s="436"/>
      <c r="H15" s="436"/>
      <c r="I15" s="436"/>
      <c r="J15" s="436"/>
      <c r="K15" s="436"/>
      <c r="L15" s="436"/>
      <c r="M15" s="436"/>
      <c r="N15" s="441">
        <f>'Ex ante LI &amp; Eligibility Stats'!N15</f>
        <v>78368</v>
      </c>
      <c r="O15" s="276"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96" t="s">
        <v>25</v>
      </c>
      <c r="B16" s="598">
        <v>13.8</v>
      </c>
      <c r="C16" s="598">
        <v>13.8</v>
      </c>
      <c r="D16" s="436"/>
      <c r="E16" s="436"/>
      <c r="F16" s="436"/>
      <c r="G16" s="436"/>
      <c r="H16" s="436"/>
      <c r="I16" s="436"/>
      <c r="J16" s="436"/>
      <c r="K16" s="436"/>
      <c r="L16" s="436"/>
      <c r="M16" s="436"/>
      <c r="N16" s="441">
        <f>'Ex ante LI &amp; Eligibility Stats'!N16</f>
        <v>78368</v>
      </c>
      <c r="O16" s="276"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38" t="s">
        <v>27</v>
      </c>
      <c r="B17" s="436">
        <v>0.17</v>
      </c>
      <c r="C17" s="436">
        <v>0.17</v>
      </c>
      <c r="D17" s="436"/>
      <c r="E17" s="436"/>
      <c r="F17" s="436"/>
      <c r="G17" s="436"/>
      <c r="H17" s="436"/>
      <c r="I17" s="436"/>
      <c r="J17" s="436"/>
      <c r="K17" s="436"/>
      <c r="L17" s="436"/>
      <c r="M17" s="436"/>
      <c r="N17" s="441">
        <f>'Ex ante LI &amp; Eligibility Stats'!N17</f>
        <v>1292629</v>
      </c>
      <c r="O17" s="276"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84" t="s">
        <v>26</v>
      </c>
      <c r="B18" s="444">
        <v>0.05</v>
      </c>
      <c r="C18" s="444">
        <v>0.05</v>
      </c>
      <c r="D18" s="585"/>
      <c r="E18" s="585"/>
      <c r="F18" s="585"/>
      <c r="G18" s="585"/>
      <c r="H18" s="585"/>
      <c r="I18" s="585"/>
      <c r="J18" s="585"/>
      <c r="K18" s="585"/>
      <c r="L18" s="585"/>
      <c r="M18" s="585"/>
      <c r="N18" s="592">
        <f>'Ex ante LI &amp; Eligibility Stats'!N18</f>
        <v>120672</v>
      </c>
      <c r="O18" s="593"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35" t="s">
        <v>55</v>
      </c>
      <c r="B19" s="588">
        <v>0</v>
      </c>
      <c r="C19" s="588">
        <v>0</v>
      </c>
      <c r="D19" s="588"/>
      <c r="E19" s="588"/>
      <c r="F19" s="588"/>
      <c r="G19" s="588"/>
      <c r="H19" s="588"/>
      <c r="I19" s="588"/>
      <c r="J19" s="588"/>
      <c r="K19" s="588"/>
      <c r="L19" s="588"/>
      <c r="M19" s="588"/>
      <c r="N19" s="594">
        <f>'Ex ante LI &amp; Eligibility Stats'!N19</f>
        <v>2822</v>
      </c>
      <c r="O19" s="276"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67"/>
      <c r="B20" s="468"/>
      <c r="C20" s="468"/>
      <c r="D20" s="468"/>
      <c r="E20" s="468"/>
      <c r="F20" s="468"/>
      <c r="G20" s="468"/>
      <c r="H20" s="468"/>
      <c r="I20" s="468"/>
      <c r="J20" s="468"/>
      <c r="K20" s="468"/>
      <c r="L20" s="468"/>
      <c r="M20" s="468"/>
      <c r="N20" s="469"/>
      <c r="O20" s="431"/>
    </row>
    <row r="21" spans="1:26" ht="14">
      <c r="A21" s="676" t="s">
        <v>82</v>
      </c>
      <c r="B21" s="676"/>
      <c r="C21" s="676"/>
      <c r="D21" s="676"/>
      <c r="E21" s="676"/>
      <c r="F21" s="676"/>
      <c r="G21" s="676"/>
      <c r="H21" s="676"/>
      <c r="I21" s="676"/>
      <c r="J21" s="676"/>
      <c r="K21" s="676"/>
      <c r="L21" s="676"/>
      <c r="M21" s="676"/>
      <c r="N21" s="676"/>
      <c r="O21" s="676"/>
    </row>
    <row r="22" spans="1:26" s="10" customFormat="1" ht="18.75" customHeight="1">
      <c r="A22" s="668" t="s">
        <v>262</v>
      </c>
      <c r="B22" s="669"/>
      <c r="C22" s="669"/>
      <c r="D22" s="669"/>
      <c r="E22" s="669"/>
      <c r="F22" s="669"/>
      <c r="G22" s="669"/>
      <c r="H22" s="669"/>
      <c r="I22" s="669"/>
      <c r="J22" s="669"/>
      <c r="K22" s="669"/>
      <c r="L22" s="669"/>
      <c r="M22" s="669"/>
      <c r="N22" s="669"/>
      <c r="O22" s="669"/>
      <c r="P22" s="13"/>
      <c r="Q22" s="13"/>
      <c r="R22" s="13"/>
      <c r="S22" s="13"/>
      <c r="T22" s="146"/>
      <c r="U22" s="146"/>
      <c r="V22" s="146"/>
      <c r="W22" s="146"/>
      <c r="X22" s="146"/>
      <c r="Y22" s="146"/>
      <c r="Z22" s="146"/>
    </row>
    <row r="23" spans="1:26" ht="12.75" customHeight="1">
      <c r="A23" s="668" t="s">
        <v>83</v>
      </c>
      <c r="B23" s="669"/>
      <c r="C23" s="669"/>
      <c r="D23" s="669"/>
      <c r="E23" s="669"/>
      <c r="F23" s="669"/>
      <c r="G23" s="669"/>
      <c r="H23" s="669"/>
      <c r="I23" s="669"/>
      <c r="J23" s="669"/>
      <c r="K23" s="669"/>
      <c r="L23" s="669"/>
      <c r="M23" s="669"/>
      <c r="N23" s="669"/>
      <c r="O23" s="669"/>
    </row>
    <row r="24" spans="1:26" ht="12.75" customHeight="1">
      <c r="A24" s="671" t="s">
        <v>79</v>
      </c>
      <c r="B24" s="672"/>
      <c r="C24" s="672"/>
      <c r="D24" s="672"/>
      <c r="E24" s="672"/>
      <c r="F24" s="672"/>
      <c r="G24" s="672"/>
      <c r="H24" s="672"/>
      <c r="I24" s="672"/>
      <c r="J24" s="672"/>
      <c r="K24" s="672"/>
      <c r="L24" s="672"/>
      <c r="M24" s="672"/>
      <c r="N24" s="672"/>
      <c r="O24" s="590"/>
    </row>
    <row r="25" spans="1:26" s="10" customFormat="1" ht="27.5" customHeight="1">
      <c r="A25" s="677" t="s">
        <v>263</v>
      </c>
      <c r="B25" s="678"/>
      <c r="C25" s="678"/>
      <c r="D25" s="678"/>
      <c r="E25" s="678"/>
      <c r="F25" s="678"/>
      <c r="G25" s="678"/>
      <c r="H25" s="678"/>
      <c r="I25" s="678"/>
      <c r="J25" s="678"/>
      <c r="K25" s="678"/>
      <c r="L25" s="678"/>
      <c r="M25" s="678"/>
      <c r="N25" s="678"/>
      <c r="O25" s="427"/>
      <c r="P25" s="13"/>
      <c r="Q25" s="13"/>
      <c r="R25" s="13"/>
      <c r="S25" s="13"/>
      <c r="T25" s="146"/>
      <c r="U25" s="146"/>
      <c r="V25" s="146"/>
      <c r="W25" s="146"/>
      <c r="X25" s="146"/>
      <c r="Y25" s="146"/>
      <c r="Z25" s="146"/>
    </row>
    <row r="26" spans="1:26" s="10" customFormat="1" ht="14">
      <c r="A26" s="249" t="s">
        <v>65</v>
      </c>
      <c r="B26"/>
      <c r="C26"/>
      <c r="D26"/>
      <c r="E26"/>
      <c r="F26"/>
      <c r="G26"/>
      <c r="H26"/>
      <c r="I26"/>
      <c r="J26"/>
      <c r="K26"/>
      <c r="L26"/>
      <c r="M26"/>
      <c r="N26" s="358"/>
      <c r="O26"/>
      <c r="P26" s="13"/>
      <c r="Q26" s="13"/>
      <c r="R26" s="13"/>
      <c r="S26" s="13"/>
      <c r="T26" s="146"/>
      <c r="U26" s="146"/>
      <c r="V26" s="146"/>
      <c r="W26" s="146"/>
      <c r="X26" s="146"/>
      <c r="Y26" s="146"/>
      <c r="Z26" s="146"/>
    </row>
    <row r="27" spans="1:26" ht="40.5" customHeight="1">
      <c r="N27" s="358"/>
    </row>
    <row r="54" spans="1:1" ht="40.5" customHeight="1">
      <c r="A54" s="204"/>
    </row>
  </sheetData>
  <mergeCells count="6">
    <mergeCell ref="A7:N7"/>
    <mergeCell ref="A21:O21"/>
    <mergeCell ref="A23:O23"/>
    <mergeCell ref="A25:N25"/>
    <mergeCell ref="A22:O22"/>
    <mergeCell ref="A24:N24"/>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84</v>
      </c>
    </row>
    <row r="3" spans="1:25" ht="21.75" customHeight="1">
      <c r="A3" s="94">
        <v>2016</v>
      </c>
      <c r="B3" s="679" t="s">
        <v>41</v>
      </c>
      <c r="C3" s="679"/>
      <c r="D3" s="679"/>
      <c r="E3" s="679"/>
      <c r="F3" s="680" t="s">
        <v>42</v>
      </c>
      <c r="G3" s="680"/>
      <c r="H3" s="680"/>
      <c r="I3" s="680"/>
      <c r="J3" s="680" t="s">
        <v>43</v>
      </c>
      <c r="K3" s="680"/>
      <c r="L3" s="680"/>
      <c r="M3" s="680"/>
      <c r="N3" s="680" t="s">
        <v>44</v>
      </c>
      <c r="O3" s="680"/>
      <c r="P3" s="680"/>
      <c r="Q3" s="680"/>
      <c r="R3" s="680" t="s">
        <v>31</v>
      </c>
      <c r="S3" s="680"/>
      <c r="T3" s="680"/>
      <c r="U3" s="680"/>
      <c r="V3" s="680" t="s">
        <v>45</v>
      </c>
      <c r="W3" s="680"/>
      <c r="X3" s="680"/>
      <c r="Y3" s="680"/>
    </row>
    <row r="4" spans="1:25" ht="79.5" customHeight="1">
      <c r="A4" s="488" t="s">
        <v>85</v>
      </c>
      <c r="B4" s="54" t="s">
        <v>86</v>
      </c>
      <c r="C4" s="54" t="s">
        <v>87</v>
      </c>
      <c r="D4" s="54" t="s">
        <v>88</v>
      </c>
      <c r="E4" s="54" t="s">
        <v>89</v>
      </c>
      <c r="F4" s="54" t="s">
        <v>86</v>
      </c>
      <c r="G4" s="54" t="s">
        <v>87</v>
      </c>
      <c r="H4" s="54" t="s">
        <v>88</v>
      </c>
      <c r="I4" s="54" t="s">
        <v>89</v>
      </c>
      <c r="J4" s="54" t="s">
        <v>86</v>
      </c>
      <c r="K4" s="54" t="s">
        <v>87</v>
      </c>
      <c r="L4" s="54" t="s">
        <v>88</v>
      </c>
      <c r="M4" s="54" t="s">
        <v>89</v>
      </c>
      <c r="N4" s="54" t="s">
        <v>86</v>
      </c>
      <c r="O4" s="54" t="s">
        <v>87</v>
      </c>
      <c r="P4" s="54" t="s">
        <v>88</v>
      </c>
      <c r="Q4" s="54" t="s">
        <v>89</v>
      </c>
      <c r="R4" s="54" t="s">
        <v>86</v>
      </c>
      <c r="S4" s="54" t="s">
        <v>87</v>
      </c>
      <c r="T4" s="54" t="s">
        <v>88</v>
      </c>
      <c r="U4" s="54" t="s">
        <v>89</v>
      </c>
      <c r="V4" s="54" t="s">
        <v>86</v>
      </c>
      <c r="W4" s="54" t="s">
        <v>87</v>
      </c>
      <c r="X4" s="54" t="s">
        <v>88</v>
      </c>
      <c r="Y4" s="54" t="s">
        <v>89</v>
      </c>
    </row>
    <row r="5" spans="1:25" ht="13">
      <c r="A5" s="95" t="s">
        <v>90</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91</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92</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89"/>
      <c r="F9" s="65"/>
      <c r="G9" s="66"/>
      <c r="H9" s="67"/>
      <c r="I9" s="67"/>
      <c r="J9" s="68"/>
      <c r="K9" s="66"/>
      <c r="L9" s="67"/>
      <c r="M9" s="60"/>
      <c r="N9" s="68"/>
      <c r="O9" s="66"/>
      <c r="P9" s="67"/>
      <c r="Q9" s="60"/>
      <c r="R9" s="68"/>
      <c r="S9" s="66"/>
      <c r="T9" s="67"/>
      <c r="U9" s="60"/>
      <c r="V9" s="68"/>
      <c r="W9" s="66"/>
      <c r="X9" s="67"/>
      <c r="Y9" s="60">
        <f>SUM(W9:X9)</f>
        <v>0</v>
      </c>
    </row>
    <row r="10" spans="1:25" ht="13">
      <c r="A10" s="95" t="s">
        <v>93</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94</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92</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89</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88" t="s">
        <v>95</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96</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92</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97</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680" t="s">
        <v>59</v>
      </c>
      <c r="C25" s="680"/>
      <c r="D25" s="680"/>
      <c r="E25" s="680"/>
      <c r="F25" s="680" t="s">
        <v>67</v>
      </c>
      <c r="G25" s="680"/>
      <c r="H25" s="680"/>
      <c r="I25" s="680" t="s">
        <v>59</v>
      </c>
      <c r="J25" s="680" t="s">
        <v>68</v>
      </c>
      <c r="K25" s="680"/>
      <c r="L25" s="680"/>
      <c r="M25" s="680" t="s">
        <v>59</v>
      </c>
      <c r="N25" s="680" t="s">
        <v>61</v>
      </c>
      <c r="O25" s="680"/>
      <c r="P25" s="680"/>
      <c r="Q25" s="680" t="s">
        <v>59</v>
      </c>
      <c r="R25" s="680" t="s">
        <v>69</v>
      </c>
      <c r="S25" s="680"/>
      <c r="T25" s="680"/>
      <c r="U25" s="680" t="s">
        <v>59</v>
      </c>
      <c r="V25" s="680" t="s">
        <v>62</v>
      </c>
      <c r="W25" s="680"/>
      <c r="X25" s="680"/>
      <c r="Y25" s="680" t="s">
        <v>59</v>
      </c>
    </row>
    <row r="26" spans="1:25" ht="39">
      <c r="A26" s="488" t="s">
        <v>85</v>
      </c>
      <c r="B26" s="54" t="s">
        <v>86</v>
      </c>
      <c r="C26" s="54" t="s">
        <v>87</v>
      </c>
      <c r="D26" s="54" t="s">
        <v>88</v>
      </c>
      <c r="E26" s="54" t="s">
        <v>89</v>
      </c>
      <c r="F26" s="54" t="s">
        <v>86</v>
      </c>
      <c r="G26" s="54" t="s">
        <v>87</v>
      </c>
      <c r="H26" s="54" t="s">
        <v>88</v>
      </c>
      <c r="I26" s="54" t="s">
        <v>89</v>
      </c>
      <c r="J26" s="54" t="s">
        <v>86</v>
      </c>
      <c r="K26" s="54" t="s">
        <v>87</v>
      </c>
      <c r="L26" s="54" t="s">
        <v>88</v>
      </c>
      <c r="M26" s="54" t="s">
        <v>89</v>
      </c>
      <c r="N26" s="54" t="s">
        <v>86</v>
      </c>
      <c r="O26" s="54" t="s">
        <v>87</v>
      </c>
      <c r="P26" s="54" t="s">
        <v>88</v>
      </c>
      <c r="Q26" s="54" t="s">
        <v>89</v>
      </c>
      <c r="R26" s="54" t="s">
        <v>86</v>
      </c>
      <c r="S26" s="54" t="s">
        <v>87</v>
      </c>
      <c r="T26" s="54" t="s">
        <v>88</v>
      </c>
      <c r="U26" s="54" t="s">
        <v>89</v>
      </c>
      <c r="V26" s="54" t="s">
        <v>86</v>
      </c>
      <c r="W26" s="54" t="s">
        <v>87</v>
      </c>
      <c r="X26" s="54" t="s">
        <v>88</v>
      </c>
      <c r="Y26" s="54" t="s">
        <v>89</v>
      </c>
    </row>
    <row r="27" spans="1:25" ht="13">
      <c r="A27" s="95" t="s">
        <v>98</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91</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99</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100</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101</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102</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92</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93</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103</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94</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92</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89</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88" t="s">
        <v>95</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96</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92</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97</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104</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105</v>
      </c>
      <c r="B53" s="43" t="s">
        <v>106</v>
      </c>
      <c r="D53" s="45"/>
      <c r="G53" s="45"/>
      <c r="I53" s="43"/>
      <c r="K53" s="45"/>
      <c r="M53" s="43"/>
      <c r="O53" s="45"/>
      <c r="P53" s="45"/>
      <c r="S53" s="45"/>
      <c r="T53" s="45"/>
      <c r="W53" s="45"/>
      <c r="X53" s="45"/>
    </row>
    <row r="54" spans="1:25" ht="13">
      <c r="A54" s="43" t="s">
        <v>107</v>
      </c>
      <c r="B54" s="43" t="s">
        <v>108</v>
      </c>
      <c r="D54" s="45"/>
      <c r="G54" s="45"/>
      <c r="I54" s="43"/>
      <c r="K54" s="45"/>
      <c r="M54" s="43"/>
      <c r="O54" s="45"/>
      <c r="P54" s="45"/>
      <c r="S54" s="45"/>
      <c r="T54" s="45"/>
    </row>
    <row r="55" spans="1:25" ht="13">
      <c r="A55" s="43" t="s">
        <v>109</v>
      </c>
      <c r="B55" s="43" t="s">
        <v>110</v>
      </c>
      <c r="D55" s="45"/>
      <c r="G55" s="45"/>
      <c r="I55" s="43"/>
      <c r="K55" s="45"/>
      <c r="M55" s="43"/>
      <c r="U55" s="52"/>
      <c r="V55" s="52"/>
      <c r="Y55" s="52"/>
    </row>
    <row r="56" spans="1:25" ht="13">
      <c r="A56" s="43" t="s">
        <v>111</v>
      </c>
      <c r="B56" s="43" t="s">
        <v>112</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zoomScale="80" zoomScaleNormal="80" workbookViewId="0">
      <selection activeCell="C45" sqref="C45"/>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38" t="s">
        <v>39</v>
      </c>
      <c r="C2" s="43"/>
      <c r="D2" s="43"/>
      <c r="E2" s="339"/>
      <c r="F2" s="339"/>
      <c r="G2" s="339"/>
      <c r="H2" s="339"/>
      <c r="I2" s="339"/>
      <c r="J2" s="339"/>
      <c r="K2" s="339"/>
      <c r="L2" s="339"/>
      <c r="M2" s="339"/>
    </row>
    <row r="3" spans="1:13" ht="18">
      <c r="B3" s="681" t="s">
        <v>113</v>
      </c>
      <c r="C3" s="681"/>
      <c r="D3" s="681"/>
      <c r="E3" s="681"/>
      <c r="F3" s="681"/>
      <c r="G3" s="681"/>
      <c r="H3" s="681"/>
      <c r="I3" s="681"/>
      <c r="J3" s="681"/>
      <c r="K3" s="681"/>
      <c r="L3" s="681"/>
      <c r="M3" s="681"/>
    </row>
    <row r="4" spans="1:13" ht="18">
      <c r="A4" s="163"/>
      <c r="B4" s="43"/>
      <c r="C4" s="43"/>
      <c r="D4" s="43"/>
      <c r="E4" s="43"/>
      <c r="F4" s="340"/>
      <c r="G4" s="682" t="str">
        <f>'Program MW '!H3</f>
        <v>January 2021</v>
      </c>
      <c r="H4" s="682"/>
      <c r="I4" s="340"/>
      <c r="J4" s="43"/>
      <c r="K4" s="43"/>
      <c r="L4" s="43"/>
      <c r="M4" s="43"/>
    </row>
    <row r="5" spans="1:13">
      <c r="B5" s="199"/>
      <c r="C5" s="199"/>
      <c r="D5" s="199"/>
    </row>
    <row r="7" spans="1:13" ht="21.75" customHeight="1">
      <c r="A7" s="94"/>
      <c r="B7" s="164" t="s">
        <v>10</v>
      </c>
      <c r="C7" s="164" t="s">
        <v>28</v>
      </c>
      <c r="D7" s="164" t="s">
        <v>43</v>
      </c>
      <c r="E7" s="164" t="s">
        <v>44</v>
      </c>
      <c r="F7" s="164" t="s">
        <v>114</v>
      </c>
      <c r="G7" s="164" t="s">
        <v>45</v>
      </c>
      <c r="H7" s="164" t="s">
        <v>59</v>
      </c>
      <c r="I7" s="164" t="s">
        <v>67</v>
      </c>
      <c r="J7" s="164" t="s">
        <v>68</v>
      </c>
      <c r="K7" s="164" t="s">
        <v>61</v>
      </c>
      <c r="L7" s="164" t="s">
        <v>69</v>
      </c>
      <c r="M7" s="165" t="s">
        <v>62</v>
      </c>
    </row>
    <row r="8" spans="1:13" ht="26">
      <c r="A8" s="278" t="s">
        <v>115</v>
      </c>
      <c r="B8" s="297" t="s">
        <v>87</v>
      </c>
      <c r="C8" s="128" t="s">
        <v>87</v>
      </c>
      <c r="D8" s="128" t="s">
        <v>87</v>
      </c>
      <c r="E8" s="128" t="s">
        <v>87</v>
      </c>
      <c r="F8" s="128" t="s">
        <v>87</v>
      </c>
      <c r="G8" s="128" t="s">
        <v>87</v>
      </c>
      <c r="H8" s="128" t="s">
        <v>87</v>
      </c>
      <c r="I8" s="128" t="s">
        <v>87</v>
      </c>
      <c r="J8" s="128" t="s">
        <v>87</v>
      </c>
      <c r="K8" s="128" t="s">
        <v>87</v>
      </c>
      <c r="L8" s="128" t="s">
        <v>116</v>
      </c>
      <c r="M8" s="128" t="s">
        <v>116</v>
      </c>
    </row>
    <row r="9" spans="1:13">
      <c r="A9" s="296" t="s">
        <v>90</v>
      </c>
      <c r="B9" s="298">
        <v>1.23E-2</v>
      </c>
      <c r="C9" s="298">
        <v>1.23E-2</v>
      </c>
      <c r="D9" s="298">
        <v>1.23E-2</v>
      </c>
      <c r="E9" s="298">
        <v>1.23E-2</v>
      </c>
      <c r="F9" s="298">
        <v>1.23E-2</v>
      </c>
      <c r="G9" s="298">
        <v>1.23E-2</v>
      </c>
      <c r="H9" s="298">
        <v>1.23E-2</v>
      </c>
      <c r="I9" s="298">
        <v>1.23E-2</v>
      </c>
      <c r="J9" s="298">
        <v>1.23E-2</v>
      </c>
      <c r="K9" s="298">
        <v>1.23E-2</v>
      </c>
      <c r="L9" s="298">
        <v>1.23E-2</v>
      </c>
      <c r="M9" s="298">
        <v>1.23E-2</v>
      </c>
    </row>
    <row r="10" spans="1:13">
      <c r="A10" s="296" t="s">
        <v>91</v>
      </c>
      <c r="B10" s="298">
        <v>0</v>
      </c>
      <c r="C10" s="298">
        <v>0</v>
      </c>
      <c r="D10" s="298">
        <v>0</v>
      </c>
      <c r="E10" s="298">
        <v>0</v>
      </c>
      <c r="F10" s="298">
        <v>0</v>
      </c>
      <c r="G10" s="298">
        <v>0</v>
      </c>
      <c r="H10" s="298">
        <v>0</v>
      </c>
      <c r="I10" s="298">
        <v>0</v>
      </c>
      <c r="J10" s="298">
        <v>0</v>
      </c>
      <c r="K10" s="298">
        <v>0</v>
      </c>
      <c r="L10" s="298">
        <v>0</v>
      </c>
      <c r="M10" s="298">
        <v>0</v>
      </c>
    </row>
    <row r="11" spans="1:13">
      <c r="A11" s="167" t="s">
        <v>117</v>
      </c>
      <c r="B11" s="298">
        <v>0</v>
      </c>
      <c r="C11" s="298">
        <v>0</v>
      </c>
      <c r="D11" s="298">
        <v>0</v>
      </c>
      <c r="E11" s="298">
        <v>0</v>
      </c>
      <c r="F11" s="298">
        <v>0</v>
      </c>
      <c r="G11" s="298">
        <v>0</v>
      </c>
      <c r="H11" s="298">
        <v>0</v>
      </c>
      <c r="I11" s="298">
        <v>0</v>
      </c>
      <c r="J11" s="298">
        <v>0</v>
      </c>
      <c r="K11" s="298">
        <v>0</v>
      </c>
      <c r="L11" s="298">
        <v>0</v>
      </c>
      <c r="M11" s="298">
        <v>0</v>
      </c>
    </row>
    <row r="12" spans="1:13">
      <c r="A12" s="167" t="s">
        <v>118</v>
      </c>
      <c r="B12" s="298">
        <v>0</v>
      </c>
      <c r="C12" s="298">
        <v>0</v>
      </c>
      <c r="D12" s="298">
        <v>0</v>
      </c>
      <c r="E12" s="298">
        <v>0</v>
      </c>
      <c r="F12" s="298">
        <v>0</v>
      </c>
      <c r="G12" s="298">
        <v>0</v>
      </c>
      <c r="H12" s="298">
        <v>0</v>
      </c>
      <c r="I12" s="298">
        <v>0</v>
      </c>
      <c r="J12" s="298">
        <v>0</v>
      </c>
      <c r="K12" s="298">
        <v>0</v>
      </c>
      <c r="L12" s="298">
        <v>0</v>
      </c>
      <c r="M12" s="298">
        <v>0</v>
      </c>
    </row>
    <row r="13" spans="1:13" s="43" customFormat="1" ht="13">
      <c r="A13" s="166" t="s">
        <v>92</v>
      </c>
      <c r="B13" s="106">
        <f t="shared" ref="B13:G13" si="0">SUM(B9:B12)</f>
        <v>1.23E-2</v>
      </c>
      <c r="C13" s="106">
        <f t="shared" si="0"/>
        <v>1.23E-2</v>
      </c>
      <c r="D13" s="106">
        <f t="shared" si="0"/>
        <v>1.23E-2</v>
      </c>
      <c r="E13" s="106">
        <f t="shared" si="0"/>
        <v>1.23E-2</v>
      </c>
      <c r="F13" s="106">
        <f t="shared" si="0"/>
        <v>1.23E-2</v>
      </c>
      <c r="G13" s="106">
        <f t="shared" si="0"/>
        <v>1.23E-2</v>
      </c>
      <c r="H13" s="60">
        <f t="shared" ref="H13" si="1">SUM(H9:H12)</f>
        <v>1.23E-2</v>
      </c>
      <c r="I13" s="60">
        <f t="shared" ref="I13:M13" si="2">SUM(I9:I12)</f>
        <v>1.23E-2</v>
      </c>
      <c r="J13" s="60">
        <f t="shared" si="2"/>
        <v>1.23E-2</v>
      </c>
      <c r="K13" s="60">
        <f>SUM(K9:K12)</f>
        <v>1.23E-2</v>
      </c>
      <c r="L13" s="60">
        <f>SUM(L9:L12)</f>
        <v>1.23E-2</v>
      </c>
      <c r="M13" s="60">
        <f t="shared" si="2"/>
        <v>1.23E-2</v>
      </c>
    </row>
    <row r="14" spans="1:13" s="51" customFormat="1" ht="13">
      <c r="A14" s="43"/>
      <c r="B14" s="47"/>
      <c r="C14" s="49"/>
      <c r="D14" s="49"/>
      <c r="E14" s="49"/>
      <c r="F14" s="49"/>
      <c r="G14" s="49"/>
    </row>
    <row r="15" spans="1:13" ht="14">
      <c r="A15" s="250" t="s">
        <v>63</v>
      </c>
      <c r="G15" s="45"/>
    </row>
    <row r="16" spans="1:13" ht="15.5">
      <c r="A16" s="378" t="s">
        <v>119</v>
      </c>
      <c r="B16" s="199"/>
      <c r="C16" s="199"/>
      <c r="D16" s="288"/>
      <c r="E16" s="288"/>
      <c r="F16" s="288"/>
      <c r="G16" s="199"/>
      <c r="H16" s="199"/>
      <c r="I16" s="199"/>
      <c r="J16" s="199"/>
      <c r="K16" s="199"/>
    </row>
    <row r="17" spans="1:14" ht="15.5">
      <c r="A17" s="377"/>
    </row>
    <row r="20" spans="1:14" ht="21.75" customHeight="1">
      <c r="A20" s="94"/>
      <c r="B20" s="164" t="s">
        <v>10</v>
      </c>
      <c r="C20" s="164" t="s">
        <v>28</v>
      </c>
      <c r="D20" s="164" t="s">
        <v>43</v>
      </c>
      <c r="E20" s="164" t="s">
        <v>44</v>
      </c>
      <c r="F20" s="164" t="s">
        <v>114</v>
      </c>
      <c r="G20" s="164" t="s">
        <v>45</v>
      </c>
      <c r="H20" s="164" t="s">
        <v>59</v>
      </c>
      <c r="I20" s="164" t="s">
        <v>67</v>
      </c>
      <c r="J20" s="164" t="s">
        <v>68</v>
      </c>
      <c r="K20" s="164" t="s">
        <v>61</v>
      </c>
      <c r="L20" s="164" t="s">
        <v>69</v>
      </c>
      <c r="M20" s="165" t="s">
        <v>62</v>
      </c>
      <c r="N20" s="342"/>
    </row>
    <row r="21" spans="1:14" ht="52">
      <c r="A21" s="277" t="s">
        <v>115</v>
      </c>
      <c r="B21" s="128" t="s">
        <v>120</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42"/>
    </row>
    <row r="22" spans="1:14">
      <c r="A22" s="167" t="s">
        <v>17</v>
      </c>
      <c r="B22" s="57">
        <f>'Program MW '!D14</f>
        <v>5.5603200000000008</v>
      </c>
      <c r="C22" s="57">
        <v>0</v>
      </c>
      <c r="D22" s="57">
        <f>'Program MW '!J14</f>
        <v>0</v>
      </c>
      <c r="E22" s="57">
        <f>'Program MW '!M14</f>
        <v>0</v>
      </c>
      <c r="F22" s="57">
        <f>'Program MW '!P14</f>
        <v>0</v>
      </c>
      <c r="G22" s="57">
        <f>'Program MW '!S14</f>
        <v>0</v>
      </c>
      <c r="H22" s="57">
        <f>'Program MW '!D36</f>
        <v>0</v>
      </c>
      <c r="I22" s="57">
        <f>'Program MW '!G36</f>
        <v>0</v>
      </c>
      <c r="J22" s="57">
        <f>'Program MW '!J36</f>
        <v>0</v>
      </c>
      <c r="K22" s="57">
        <f>'Program MW '!M36</f>
        <v>0</v>
      </c>
      <c r="L22" s="57">
        <f>'Program MW '!P36</f>
        <v>0</v>
      </c>
      <c r="M22" s="57">
        <f>'Program MW '!S36</f>
        <v>0</v>
      </c>
      <c r="N22" s="342"/>
    </row>
    <row r="23" spans="1:14">
      <c r="A23" s="167" t="s">
        <v>27</v>
      </c>
      <c r="B23" s="57">
        <f>'Ex post LI &amp; Eligibility Stats'!B11*1203/1000</f>
        <v>0.38496000000000002</v>
      </c>
      <c r="C23" s="57">
        <v>0</v>
      </c>
      <c r="D23" s="57">
        <f>'Ex post LI &amp; Eligibility Stats'!D11*1015/1000</f>
        <v>0</v>
      </c>
      <c r="E23" s="57">
        <f>'Ex post LI &amp; Eligibility Stats'!E11*960/1000</f>
        <v>0</v>
      </c>
      <c r="F23" s="57">
        <f>'Ex post LI &amp; Eligibility Stats'!F11*994/1000</f>
        <v>0</v>
      </c>
      <c r="G23" s="57">
        <f>'Ex post LI &amp; Eligibility Stats'!G11*980/1000</f>
        <v>0</v>
      </c>
      <c r="H23" s="57">
        <f>'Ex post LI &amp; Eligibility Stats'!H11*977/1000</f>
        <v>0</v>
      </c>
      <c r="I23" s="57">
        <f>'Ex post LI &amp; Eligibility Stats'!I11*960/1000</f>
        <v>0</v>
      </c>
      <c r="J23" s="57">
        <f>'Ex post LI &amp; Eligibility Stats'!J11*948/1000</f>
        <v>0</v>
      </c>
      <c r="K23" s="57">
        <f>'Ex post LI &amp; Eligibility Stats'!J11*1041/1000</f>
        <v>0</v>
      </c>
      <c r="L23" s="57">
        <f>'Ex post LI &amp; Eligibility Stats'!K11*1093/1000</f>
        <v>0</v>
      </c>
      <c r="M23" s="57">
        <f>'Ex post LI &amp; Eligibility Stats'!L11*1159/1000</f>
        <v>0</v>
      </c>
    </row>
    <row r="24" spans="1:14">
      <c r="A24" s="167" t="s">
        <v>118</v>
      </c>
      <c r="B24" s="57">
        <f>'Ex post LI &amp; Eligibility Stats'!B11*1929/1000</f>
        <v>0.61727999999999994</v>
      </c>
      <c r="C24" s="57">
        <v>0</v>
      </c>
      <c r="D24" s="57">
        <f>'Ex post LI &amp; Eligibility Stats'!D11*1490/1000</f>
        <v>0</v>
      </c>
      <c r="E24" s="57">
        <f>'Ex post LI &amp; Eligibility Stats'!E11*1442/1000</f>
        <v>0</v>
      </c>
      <c r="F24" s="57">
        <f>'Ex post LI &amp; Eligibility Stats'!F11*1513/1000</f>
        <v>0</v>
      </c>
      <c r="G24" s="57">
        <f>'Ex post LI &amp; Eligibility Stats'!G11*1511/1000</f>
        <v>0</v>
      </c>
      <c r="H24" s="57">
        <f>'Ex post LI &amp; Eligibility Stats'!H11*1574/1000</f>
        <v>0</v>
      </c>
      <c r="I24" s="57">
        <f>'Ex post LI &amp; Eligibility Stats'!I11*1877/1000</f>
        <v>0</v>
      </c>
      <c r="J24" s="57">
        <f>'Ex post LI &amp; Eligibility Stats'!J11*1909/1000</f>
        <v>0</v>
      </c>
      <c r="K24" s="57">
        <f>'Ex post LI &amp; Eligibility Stats'!K11*1909/1000</f>
        <v>0</v>
      </c>
      <c r="L24" s="57">
        <f>'Ex post LI &amp; Eligibility Stats'!L11*1926/1000</f>
        <v>0</v>
      </c>
      <c r="M24" s="57">
        <f>'Ex post LI &amp; Eligibility Stats'!M11*1928/1000</f>
        <v>0</v>
      </c>
    </row>
    <row r="25" spans="1:14" s="43" customFormat="1" ht="13">
      <c r="A25" s="166" t="s">
        <v>92</v>
      </c>
      <c r="B25" s="106">
        <f t="shared" ref="B25:H25" si="4">SUM(B22:B24)</f>
        <v>6.5625600000000013</v>
      </c>
      <c r="C25" s="60">
        <f t="shared" si="4"/>
        <v>0</v>
      </c>
      <c r="D25" s="60">
        <f t="shared" si="4"/>
        <v>0</v>
      </c>
      <c r="E25" s="60">
        <f t="shared" si="4"/>
        <v>0</v>
      </c>
      <c r="F25" s="60">
        <f t="shared" ref="F25" si="5">SUM(F22:F24)</f>
        <v>0</v>
      </c>
      <c r="G25" s="60">
        <f t="shared" si="4"/>
        <v>0</v>
      </c>
      <c r="H25" s="60">
        <f t="shared" si="4"/>
        <v>0</v>
      </c>
      <c r="I25" s="60">
        <f t="shared" ref="I25:J25" si="6">SUM(I22:I24)</f>
        <v>0</v>
      </c>
      <c r="J25" s="60">
        <f t="shared" si="6"/>
        <v>0</v>
      </c>
      <c r="K25" s="60">
        <f>SUM(K22:K24)</f>
        <v>0</v>
      </c>
      <c r="L25" s="60">
        <f>SUM(L22:L24)</f>
        <v>0</v>
      </c>
      <c r="M25" s="60">
        <f t="shared" ref="M25" si="7">SUM(M22:M24)</f>
        <v>0</v>
      </c>
    </row>
    <row r="26" spans="1:14" s="51" customFormat="1" ht="13">
      <c r="A26" s="43"/>
      <c r="B26" s="47"/>
      <c r="C26" s="49"/>
      <c r="D26" s="49"/>
      <c r="E26" s="49"/>
      <c r="F26" s="49"/>
      <c r="G26" s="49"/>
    </row>
    <row r="27" spans="1:14" ht="14">
      <c r="A27" s="250" t="s">
        <v>63</v>
      </c>
      <c r="G27" s="45"/>
    </row>
    <row r="28" spans="1:14" ht="15.5">
      <c r="A28" s="376" t="s">
        <v>121</v>
      </c>
      <c r="G28" s="45"/>
    </row>
    <row r="29" spans="1:14" ht="15.5">
      <c r="A29" s="377"/>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114</v>
      </c>
      <c r="G31" s="164" t="s">
        <v>45</v>
      </c>
      <c r="H31" s="164" t="s">
        <v>59</v>
      </c>
      <c r="I31" s="164" t="s">
        <v>67</v>
      </c>
      <c r="J31" s="164" t="s">
        <v>68</v>
      </c>
      <c r="K31" s="164" t="s">
        <v>61</v>
      </c>
      <c r="L31" s="164" t="s">
        <v>69</v>
      </c>
      <c r="M31" s="165" t="s">
        <v>62</v>
      </c>
    </row>
    <row r="32" spans="1:14" ht="52">
      <c r="A32" s="277" t="s">
        <v>115</v>
      </c>
      <c r="B32" s="128" t="s">
        <v>122</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123</v>
      </c>
      <c r="J32" s="128" t="str">
        <f t="shared" ref="J32" si="12">H32</f>
        <v>Technology Deployment- Commercial MWs</v>
      </c>
      <c r="K32" s="128" t="str">
        <f>B32</f>
        <v>Technology Deployment- Commercial MWs</v>
      </c>
      <c r="L32" s="128" t="s">
        <v>123</v>
      </c>
      <c r="M32" s="128" t="str">
        <f t="shared" ref="M32" si="13">K32</f>
        <v>Technology Deployment- Commercial MWs</v>
      </c>
    </row>
    <row r="33" spans="1:13">
      <c r="A33" s="167" t="s">
        <v>20</v>
      </c>
      <c r="B33" s="57">
        <f>'Program MW '!D15</f>
        <v>0.32384000000000002</v>
      </c>
      <c r="C33" s="57">
        <f>'Program MW '!G15</f>
        <v>0</v>
      </c>
      <c r="D33" s="57">
        <f>'Program MW '!J15</f>
        <v>0</v>
      </c>
      <c r="E33" s="57">
        <f>'Program MW '!M15</f>
        <v>0</v>
      </c>
      <c r="F33" s="57">
        <f>'Program MW '!P15</f>
        <v>0</v>
      </c>
      <c r="G33" s="57">
        <f>'Program MW '!S15</f>
        <v>0</v>
      </c>
      <c r="H33" s="57">
        <f>'Program MW '!D37</f>
        <v>0</v>
      </c>
      <c r="I33" s="57">
        <f>'Program MW '!G37</f>
        <v>0</v>
      </c>
      <c r="J33" s="57">
        <f>'Program MW '!J39</f>
        <v>0</v>
      </c>
      <c r="K33" s="57">
        <f>'Program MW '!P37</f>
        <v>0</v>
      </c>
      <c r="L33" s="57">
        <f>'Program MW '!P37</f>
        <v>0</v>
      </c>
      <c r="M33" s="57">
        <f>'Program MW '!S37</f>
        <v>0</v>
      </c>
    </row>
    <row r="34" spans="1:13">
      <c r="A34" s="167" t="s">
        <v>26</v>
      </c>
      <c r="B34" s="57">
        <f>'Ex post LI &amp; Eligibility Stats'!B12*741/1000</f>
        <v>0.34086</v>
      </c>
      <c r="C34" s="57">
        <v>0</v>
      </c>
      <c r="D34" s="57">
        <f>'Ex post LI &amp; Eligibility Stats'!D12*727/1000</f>
        <v>0</v>
      </c>
      <c r="E34" s="57">
        <f>'Ex post LI &amp; Eligibility Stats'!E12*1152/1000</f>
        <v>0</v>
      </c>
      <c r="F34" s="57">
        <f>'Ex post LI &amp; Eligibility Stats'!F12*774/1000</f>
        <v>0</v>
      </c>
      <c r="G34" s="57">
        <f>'Ex post LI &amp; Eligibility Stats'!G12*709/1000</f>
        <v>0</v>
      </c>
      <c r="H34" s="57">
        <f>'Ex post LI &amp; Eligibility Stats'!H12*698/1000</f>
        <v>0</v>
      </c>
      <c r="I34" s="57">
        <f>'Ex post LI &amp; Eligibility Stats'!I12*687/1000</f>
        <v>0</v>
      </c>
      <c r="J34" s="57">
        <f>'Ex post LI &amp; Eligibility Stats'!J12*679/1000</f>
        <v>0</v>
      </c>
      <c r="K34" s="57">
        <f>'Ex post LI &amp; Eligibility Stats'!K12*674/1000</f>
        <v>0</v>
      </c>
      <c r="L34" s="57">
        <f>'Ex post LI &amp; Eligibility Stats'!L12*751/1000</f>
        <v>0</v>
      </c>
      <c r="M34" s="57">
        <f>'Ex post LI &amp; Eligibility Stats'!M12*747/1000</f>
        <v>0</v>
      </c>
    </row>
    <row r="35" spans="1:13">
      <c r="A35" s="446" t="s">
        <v>55</v>
      </c>
      <c r="B35" s="425">
        <v>0</v>
      </c>
      <c r="C35" s="425">
        <v>0</v>
      </c>
      <c r="D35" s="425">
        <v>0</v>
      </c>
      <c r="E35" s="425">
        <v>0</v>
      </c>
      <c r="F35" s="425">
        <v>0</v>
      </c>
      <c r="G35" s="425">
        <v>0</v>
      </c>
      <c r="H35" s="425">
        <v>0</v>
      </c>
      <c r="I35" s="425">
        <v>0</v>
      </c>
      <c r="J35" s="425">
        <v>0</v>
      </c>
      <c r="K35" s="425">
        <v>0</v>
      </c>
      <c r="L35" s="425">
        <v>0</v>
      </c>
      <c r="M35" s="425">
        <v>0</v>
      </c>
    </row>
    <row r="36" spans="1:13">
      <c r="A36" s="167" t="s">
        <v>90</v>
      </c>
      <c r="B36" s="57">
        <f>'Ex post LI &amp; Eligibility Stats'!B12*364/1000</f>
        <v>0.16744000000000001</v>
      </c>
      <c r="C36" s="57">
        <v>0</v>
      </c>
      <c r="D36" s="57">
        <f>'Ex post LI &amp; Eligibility Stats'!D12*466/1000</f>
        <v>0</v>
      </c>
      <c r="E36" s="57">
        <f>'Ex post LI &amp; Eligibility Stats'!E12*569/1000</f>
        <v>0</v>
      </c>
      <c r="F36" s="57">
        <f>'Ex post LI &amp; Eligibility Stats'!F12*457/1000</f>
        <v>0</v>
      </c>
      <c r="G36" s="57">
        <f>'Ex post LI &amp; Eligibility Stats'!G12*447/1000</f>
        <v>0</v>
      </c>
      <c r="H36" s="57">
        <f>'Ex post LI &amp; Eligibility Stats'!H12*440/1000</f>
        <v>0</v>
      </c>
      <c r="I36" s="57">
        <f>'Ex post LI &amp; Eligibility Stats'!I12*388/1000</f>
        <v>0</v>
      </c>
      <c r="J36" s="57">
        <f>'Ex post LI &amp; Eligibility Stats'!J12*386/1000</f>
        <v>0</v>
      </c>
      <c r="K36" s="57">
        <f>'Ex post LI &amp; Eligibility Stats'!K12*374/1000</f>
        <v>0</v>
      </c>
      <c r="L36" s="57">
        <f>'Ex post LI &amp; Eligibility Stats'!L$12*386/1000</f>
        <v>0</v>
      </c>
      <c r="M36" s="57">
        <f>'Ex post LI &amp; Eligibility Stats'!M$12*367/1000</f>
        <v>0</v>
      </c>
    </row>
    <row r="37" spans="1:13">
      <c r="A37" s="167" t="s">
        <v>91</v>
      </c>
      <c r="B37" s="57">
        <v>0</v>
      </c>
      <c r="C37" s="57">
        <f>'Program MW '!E18</f>
        <v>0</v>
      </c>
      <c r="D37" s="57">
        <f>'Program MW '!F18</f>
        <v>0</v>
      </c>
      <c r="E37" s="57">
        <v>0</v>
      </c>
      <c r="F37" s="57">
        <v>0</v>
      </c>
      <c r="G37" s="57">
        <v>0</v>
      </c>
      <c r="H37" s="57">
        <v>0</v>
      </c>
      <c r="I37" s="57">
        <v>0</v>
      </c>
      <c r="J37" s="57">
        <v>0</v>
      </c>
      <c r="K37" s="57">
        <v>0</v>
      </c>
      <c r="L37" s="57">
        <v>0</v>
      </c>
      <c r="M37" s="57">
        <v>0</v>
      </c>
    </row>
    <row r="38" spans="1:13">
      <c r="A38" s="167" t="s">
        <v>117</v>
      </c>
      <c r="B38" s="57">
        <f>'Ex post LI &amp; Eligibility Stats'!B14*570/1000</f>
        <v>2.8500000000000001E-2</v>
      </c>
      <c r="C38" s="57">
        <f>'Program MW '!E19</f>
        <v>0</v>
      </c>
      <c r="D38" s="57">
        <f>'Program MW '!F19</f>
        <v>0</v>
      </c>
      <c r="E38" s="57">
        <v>0</v>
      </c>
      <c r="F38" s="57">
        <v>0</v>
      </c>
      <c r="G38" s="57">
        <v>0</v>
      </c>
      <c r="H38" s="57">
        <v>0</v>
      </c>
      <c r="I38" s="57">
        <v>0</v>
      </c>
      <c r="J38" s="57">
        <v>0</v>
      </c>
      <c r="K38" s="57">
        <v>0</v>
      </c>
      <c r="L38" s="57">
        <v>0</v>
      </c>
      <c r="M38" s="57">
        <v>0</v>
      </c>
    </row>
    <row r="39" spans="1:13">
      <c r="A39" s="167" t="s">
        <v>118</v>
      </c>
      <c r="B39" s="57">
        <f>'Ex post LI &amp; Eligibility Stats'!B15*2/1000</f>
        <v>3.5999999999999997E-2</v>
      </c>
      <c r="C39" s="57">
        <f>'Ex post LI &amp; Eligibility Stats'!C15*1/1000</f>
        <v>1.7999999999999999E-2</v>
      </c>
      <c r="D39" s="57">
        <f>'Ex post LI &amp; Eligibility Stats'!D15*1/1000</f>
        <v>0</v>
      </c>
      <c r="E39" s="57">
        <v>0</v>
      </c>
      <c r="F39" s="57">
        <v>0</v>
      </c>
      <c r="G39" s="57">
        <v>0</v>
      </c>
      <c r="H39" s="57">
        <v>0</v>
      </c>
      <c r="I39" s="57">
        <v>0</v>
      </c>
      <c r="J39" s="57">
        <v>0</v>
      </c>
      <c r="K39" s="57">
        <v>0</v>
      </c>
      <c r="L39" s="57">
        <v>0</v>
      </c>
      <c r="M39" s="57">
        <f>'Ex post LI &amp; Eligibility Stats'!M$12*2/1000</f>
        <v>0</v>
      </c>
    </row>
    <row r="40" spans="1:13" s="43" customFormat="1" ht="13">
      <c r="A40" s="166" t="s">
        <v>92</v>
      </c>
      <c r="B40" s="106">
        <f t="shared" ref="B40:C40" si="14">SUM(B33:B39)</f>
        <v>0.8966400000000001</v>
      </c>
      <c r="C40" s="106">
        <f t="shared" si="14"/>
        <v>1.7999999999999999E-2</v>
      </c>
      <c r="D40" s="106">
        <f t="shared" ref="D40:M40" si="15">SUM(D33:D39)</f>
        <v>0</v>
      </c>
      <c r="E40" s="106">
        <f t="shared" si="15"/>
        <v>0</v>
      </c>
      <c r="F40" s="106">
        <f t="shared" ref="F40" si="16">SUM(F33:F39)</f>
        <v>0</v>
      </c>
      <c r="G40" s="106">
        <f t="shared" si="15"/>
        <v>0</v>
      </c>
      <c r="H40" s="106">
        <f t="shared" si="15"/>
        <v>0</v>
      </c>
      <c r="I40" s="106">
        <f t="shared" si="15"/>
        <v>0</v>
      </c>
      <c r="J40" s="106">
        <f t="shared" ref="J40" si="17">SUM(J33:J39)</f>
        <v>0</v>
      </c>
      <c r="K40" s="106">
        <f>SUM(K33:K39)</f>
        <v>0</v>
      </c>
      <c r="L40" s="106">
        <f>SUM(L33:L39)</f>
        <v>0</v>
      </c>
      <c r="M40" s="106">
        <f t="shared" si="15"/>
        <v>0</v>
      </c>
    </row>
    <row r="41" spans="1:13">
      <c r="C41" s="45"/>
      <c r="D41" s="45"/>
      <c r="E41" s="45"/>
      <c r="F41" s="45"/>
      <c r="G41" s="45"/>
    </row>
    <row r="42" spans="1:13" ht="14">
      <c r="A42" s="250" t="s">
        <v>63</v>
      </c>
      <c r="G42" s="45"/>
    </row>
    <row r="43" spans="1:13" ht="14">
      <c r="A43" s="453"/>
      <c r="B43" s="199"/>
      <c r="C43" s="199"/>
      <c r="D43" s="288"/>
      <c r="E43" s="288"/>
      <c r="F43" s="288"/>
      <c r="G43" s="199"/>
      <c r="H43" s="199"/>
      <c r="I43" s="199"/>
      <c r="J43" s="199"/>
      <c r="K43" s="199"/>
    </row>
    <row r="44" spans="1:13" ht="14">
      <c r="A44" s="251" t="s">
        <v>65</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tabSelected="1" zoomScale="90" zoomScaleNormal="90" workbookViewId="0">
      <pane xSplit="1" ySplit="10" topLeftCell="B11" activePane="bottomRight" state="frozen"/>
      <selection activeCell="A52" sqref="A52:O52"/>
      <selection pane="topRight" activeCell="A52" sqref="A52:O52"/>
      <selection pane="bottomLeft" activeCell="A52" sqref="A52:O52"/>
      <selection pane="bottomRight" activeCell="F70" sqref="F70"/>
    </sheetView>
  </sheetViews>
  <sheetFormatPr defaultRowHeight="12"/>
  <cols>
    <col min="1" max="1" width="84.26953125" style="266" customWidth="1"/>
    <col min="2" max="3" width="12.7265625" style="266" customWidth="1"/>
    <col min="4" max="4" width="9.453125" style="266" bestFit="1" customWidth="1"/>
    <col min="5" max="10" width="12.7265625" style="266" customWidth="1"/>
    <col min="11" max="11" width="10.7265625" style="266" customWidth="1"/>
    <col min="12" max="13" width="12.7265625" style="266" customWidth="1"/>
    <col min="14" max="15" width="16.6328125" style="266" customWidth="1"/>
    <col min="16" max="16" width="16.6328125" style="266" hidden="1" customWidth="1"/>
    <col min="17" max="17" width="16.6328125" style="266" customWidth="1"/>
    <col min="18" max="256" width="9.26953125" style="266"/>
    <col min="257" max="257" width="70" style="266" customWidth="1"/>
    <col min="258" max="269" width="12.7265625" style="266" customWidth="1"/>
    <col min="270" max="270" width="11" style="266" customWidth="1"/>
    <col min="271" max="271" width="0" style="266" hidden="1" customWidth="1"/>
    <col min="272" max="273" width="11.7265625" style="266" customWidth="1"/>
    <col min="274" max="512" width="9.26953125" style="266"/>
    <col min="513" max="513" width="70" style="266" customWidth="1"/>
    <col min="514" max="525" width="12.7265625" style="266" customWidth="1"/>
    <col min="526" max="526" width="11" style="266" customWidth="1"/>
    <col min="527" max="527" width="0" style="266" hidden="1" customWidth="1"/>
    <col min="528" max="529" width="11.7265625" style="266" customWidth="1"/>
    <col min="530" max="768" width="9.26953125" style="266"/>
    <col min="769" max="769" width="70" style="266" customWidth="1"/>
    <col min="770" max="781" width="12.7265625" style="266" customWidth="1"/>
    <col min="782" max="782" width="11" style="266" customWidth="1"/>
    <col min="783" max="783" width="0" style="266" hidden="1" customWidth="1"/>
    <col min="784" max="785" width="11.7265625" style="266" customWidth="1"/>
    <col min="786" max="1024" width="9.26953125" style="266"/>
    <col min="1025" max="1025" width="70" style="266" customWidth="1"/>
    <col min="1026" max="1037" width="12.7265625" style="266" customWidth="1"/>
    <col min="1038" max="1038" width="11" style="266" customWidth="1"/>
    <col min="1039" max="1039" width="0" style="266" hidden="1" customWidth="1"/>
    <col min="1040" max="1041" width="11.7265625" style="266" customWidth="1"/>
    <col min="1042" max="1280" width="9.26953125" style="266"/>
    <col min="1281" max="1281" width="70" style="266" customWidth="1"/>
    <col min="1282" max="1293" width="12.7265625" style="266" customWidth="1"/>
    <col min="1294" max="1294" width="11" style="266" customWidth="1"/>
    <col min="1295" max="1295" width="0" style="266" hidden="1" customWidth="1"/>
    <col min="1296" max="1297" width="11.7265625" style="266" customWidth="1"/>
    <col min="1298" max="1536" width="9.26953125" style="266"/>
    <col min="1537" max="1537" width="70" style="266" customWidth="1"/>
    <col min="1538" max="1549" width="12.7265625" style="266" customWidth="1"/>
    <col min="1550" max="1550" width="11" style="266" customWidth="1"/>
    <col min="1551" max="1551" width="0" style="266" hidden="1" customWidth="1"/>
    <col min="1552" max="1553" width="11.7265625" style="266" customWidth="1"/>
    <col min="1554" max="1792" width="9.26953125" style="266"/>
    <col min="1793" max="1793" width="70" style="266" customWidth="1"/>
    <col min="1794" max="1805" width="12.7265625" style="266" customWidth="1"/>
    <col min="1806" max="1806" width="11" style="266" customWidth="1"/>
    <col min="1807" max="1807" width="0" style="266" hidden="1" customWidth="1"/>
    <col min="1808" max="1809" width="11.7265625" style="266" customWidth="1"/>
    <col min="1810" max="2048" width="9.26953125" style="266"/>
    <col min="2049" max="2049" width="70" style="266" customWidth="1"/>
    <col min="2050" max="2061" width="12.7265625" style="266" customWidth="1"/>
    <col min="2062" max="2062" width="11" style="266" customWidth="1"/>
    <col min="2063" max="2063" width="0" style="266" hidden="1" customWidth="1"/>
    <col min="2064" max="2065" width="11.7265625" style="266" customWidth="1"/>
    <col min="2066" max="2304" width="9.26953125" style="266"/>
    <col min="2305" max="2305" width="70" style="266" customWidth="1"/>
    <col min="2306" max="2317" width="12.7265625" style="266" customWidth="1"/>
    <col min="2318" max="2318" width="11" style="266" customWidth="1"/>
    <col min="2319" max="2319" width="0" style="266" hidden="1" customWidth="1"/>
    <col min="2320" max="2321" width="11.7265625" style="266" customWidth="1"/>
    <col min="2322" max="2560" width="9.26953125" style="266"/>
    <col min="2561" max="2561" width="70" style="266" customWidth="1"/>
    <col min="2562" max="2573" width="12.7265625" style="266" customWidth="1"/>
    <col min="2574" max="2574" width="11" style="266" customWidth="1"/>
    <col min="2575" max="2575" width="0" style="266" hidden="1" customWidth="1"/>
    <col min="2576" max="2577" width="11.7265625" style="266" customWidth="1"/>
    <col min="2578" max="2816" width="9.26953125" style="266"/>
    <col min="2817" max="2817" width="70" style="266" customWidth="1"/>
    <col min="2818" max="2829" width="12.7265625" style="266" customWidth="1"/>
    <col min="2830" max="2830" width="11" style="266" customWidth="1"/>
    <col min="2831" max="2831" width="0" style="266" hidden="1" customWidth="1"/>
    <col min="2832" max="2833" width="11.7265625" style="266" customWidth="1"/>
    <col min="2834" max="3072" width="9.26953125" style="266"/>
    <col min="3073" max="3073" width="70" style="266" customWidth="1"/>
    <col min="3074" max="3085" width="12.7265625" style="266" customWidth="1"/>
    <col min="3086" max="3086" width="11" style="266" customWidth="1"/>
    <col min="3087" max="3087" width="0" style="266" hidden="1" customWidth="1"/>
    <col min="3088" max="3089" width="11.7265625" style="266" customWidth="1"/>
    <col min="3090" max="3328" width="9.26953125" style="266"/>
    <col min="3329" max="3329" width="70" style="266" customWidth="1"/>
    <col min="3330" max="3341" width="12.7265625" style="266" customWidth="1"/>
    <col min="3342" max="3342" width="11" style="266" customWidth="1"/>
    <col min="3343" max="3343" width="0" style="266" hidden="1" customWidth="1"/>
    <col min="3344" max="3345" width="11.7265625" style="266" customWidth="1"/>
    <col min="3346" max="3584" width="9.26953125" style="266"/>
    <col min="3585" max="3585" width="70" style="266" customWidth="1"/>
    <col min="3586" max="3597" width="12.7265625" style="266" customWidth="1"/>
    <col min="3598" max="3598" width="11" style="266" customWidth="1"/>
    <col min="3599" max="3599" width="0" style="266" hidden="1" customWidth="1"/>
    <col min="3600" max="3601" width="11.7265625" style="266" customWidth="1"/>
    <col min="3602" max="3840" width="9.26953125" style="266"/>
    <col min="3841" max="3841" width="70" style="266" customWidth="1"/>
    <col min="3842" max="3853" width="12.7265625" style="266" customWidth="1"/>
    <col min="3854" max="3854" width="11" style="266" customWidth="1"/>
    <col min="3855" max="3855" width="0" style="266" hidden="1" customWidth="1"/>
    <col min="3856" max="3857" width="11.7265625" style="266" customWidth="1"/>
    <col min="3858" max="4096" width="9.26953125" style="266"/>
    <col min="4097" max="4097" width="70" style="266" customWidth="1"/>
    <col min="4098" max="4109" width="12.7265625" style="266" customWidth="1"/>
    <col min="4110" max="4110" width="11" style="266" customWidth="1"/>
    <col min="4111" max="4111" width="0" style="266" hidden="1" customWidth="1"/>
    <col min="4112" max="4113" width="11.7265625" style="266" customWidth="1"/>
    <col min="4114" max="4352" width="9.26953125" style="266"/>
    <col min="4353" max="4353" width="70" style="266" customWidth="1"/>
    <col min="4354" max="4365" width="12.7265625" style="266" customWidth="1"/>
    <col min="4366" max="4366" width="11" style="266" customWidth="1"/>
    <col min="4367" max="4367" width="0" style="266" hidden="1" customWidth="1"/>
    <col min="4368" max="4369" width="11.7265625" style="266" customWidth="1"/>
    <col min="4370" max="4608" width="9.26953125" style="266"/>
    <col min="4609" max="4609" width="70" style="266" customWidth="1"/>
    <col min="4610" max="4621" width="12.7265625" style="266" customWidth="1"/>
    <col min="4622" max="4622" width="11" style="266" customWidth="1"/>
    <col min="4623" max="4623" width="0" style="266" hidden="1" customWidth="1"/>
    <col min="4624" max="4625" width="11.7265625" style="266" customWidth="1"/>
    <col min="4626" max="4864" width="9.26953125" style="266"/>
    <col min="4865" max="4865" width="70" style="266" customWidth="1"/>
    <col min="4866" max="4877" width="12.7265625" style="266" customWidth="1"/>
    <col min="4878" max="4878" width="11" style="266" customWidth="1"/>
    <col min="4879" max="4879" width="0" style="266" hidden="1" customWidth="1"/>
    <col min="4880" max="4881" width="11.7265625" style="266" customWidth="1"/>
    <col min="4882" max="5120" width="9.26953125" style="266"/>
    <col min="5121" max="5121" width="70" style="266" customWidth="1"/>
    <col min="5122" max="5133" width="12.7265625" style="266" customWidth="1"/>
    <col min="5134" max="5134" width="11" style="266" customWidth="1"/>
    <col min="5135" max="5135" width="0" style="266" hidden="1" customWidth="1"/>
    <col min="5136" max="5137" width="11.7265625" style="266" customWidth="1"/>
    <col min="5138" max="5376" width="9.26953125" style="266"/>
    <col min="5377" max="5377" width="70" style="266" customWidth="1"/>
    <col min="5378" max="5389" width="12.7265625" style="266" customWidth="1"/>
    <col min="5390" max="5390" width="11" style="266" customWidth="1"/>
    <col min="5391" max="5391" width="0" style="266" hidden="1" customWidth="1"/>
    <col min="5392" max="5393" width="11.7265625" style="266" customWidth="1"/>
    <col min="5394" max="5632" width="9.26953125" style="266"/>
    <col min="5633" max="5633" width="70" style="266" customWidth="1"/>
    <col min="5634" max="5645" width="12.7265625" style="266" customWidth="1"/>
    <col min="5646" max="5646" width="11" style="266" customWidth="1"/>
    <col min="5647" max="5647" width="0" style="266" hidden="1" customWidth="1"/>
    <col min="5648" max="5649" width="11.7265625" style="266" customWidth="1"/>
    <col min="5650" max="5888" width="9.26953125" style="266"/>
    <col min="5889" max="5889" width="70" style="266" customWidth="1"/>
    <col min="5890" max="5901" width="12.7265625" style="266" customWidth="1"/>
    <col min="5902" max="5902" width="11" style="266" customWidth="1"/>
    <col min="5903" max="5903" width="0" style="266" hidden="1" customWidth="1"/>
    <col min="5904" max="5905" width="11.7265625" style="266" customWidth="1"/>
    <col min="5906" max="6144" width="9.26953125" style="266"/>
    <col min="6145" max="6145" width="70" style="266" customWidth="1"/>
    <col min="6146" max="6157" width="12.7265625" style="266" customWidth="1"/>
    <col min="6158" max="6158" width="11" style="266" customWidth="1"/>
    <col min="6159" max="6159" width="0" style="266" hidden="1" customWidth="1"/>
    <col min="6160" max="6161" width="11.7265625" style="266" customWidth="1"/>
    <col min="6162" max="6400" width="9.26953125" style="266"/>
    <col min="6401" max="6401" width="70" style="266" customWidth="1"/>
    <col min="6402" max="6413" width="12.7265625" style="266" customWidth="1"/>
    <col min="6414" max="6414" width="11" style="266" customWidth="1"/>
    <col min="6415" max="6415" width="0" style="266" hidden="1" customWidth="1"/>
    <col min="6416" max="6417" width="11.7265625" style="266" customWidth="1"/>
    <col min="6418" max="6656" width="9.26953125" style="266"/>
    <col min="6657" max="6657" width="70" style="266" customWidth="1"/>
    <col min="6658" max="6669" width="12.7265625" style="266" customWidth="1"/>
    <col min="6670" max="6670" width="11" style="266" customWidth="1"/>
    <col min="6671" max="6671" width="0" style="266" hidden="1" customWidth="1"/>
    <col min="6672" max="6673" width="11.7265625" style="266" customWidth="1"/>
    <col min="6674" max="6912" width="9.26953125" style="266"/>
    <col min="6913" max="6913" width="70" style="266" customWidth="1"/>
    <col min="6914" max="6925" width="12.7265625" style="266" customWidth="1"/>
    <col min="6926" max="6926" width="11" style="266" customWidth="1"/>
    <col min="6927" max="6927" width="0" style="266" hidden="1" customWidth="1"/>
    <col min="6928" max="6929" width="11.7265625" style="266" customWidth="1"/>
    <col min="6930" max="7168" width="9.26953125" style="266"/>
    <col min="7169" max="7169" width="70" style="266" customWidth="1"/>
    <col min="7170" max="7181" width="12.7265625" style="266" customWidth="1"/>
    <col min="7182" max="7182" width="11" style="266" customWidth="1"/>
    <col min="7183" max="7183" width="0" style="266" hidden="1" customWidth="1"/>
    <col min="7184" max="7185" width="11.7265625" style="266" customWidth="1"/>
    <col min="7186" max="7424" width="9.26953125" style="266"/>
    <col min="7425" max="7425" width="70" style="266" customWidth="1"/>
    <col min="7426" max="7437" width="12.7265625" style="266" customWidth="1"/>
    <col min="7438" max="7438" width="11" style="266" customWidth="1"/>
    <col min="7439" max="7439" width="0" style="266" hidden="1" customWidth="1"/>
    <col min="7440" max="7441" width="11.7265625" style="266" customWidth="1"/>
    <col min="7442" max="7680" width="9.26953125" style="266"/>
    <col min="7681" max="7681" width="70" style="266" customWidth="1"/>
    <col min="7682" max="7693" width="12.7265625" style="266" customWidth="1"/>
    <col min="7694" max="7694" width="11" style="266" customWidth="1"/>
    <col min="7695" max="7695" width="0" style="266" hidden="1" customWidth="1"/>
    <col min="7696" max="7697" width="11.7265625" style="266" customWidth="1"/>
    <col min="7698" max="7936" width="9.26953125" style="266"/>
    <col min="7937" max="7937" width="70" style="266" customWidth="1"/>
    <col min="7938" max="7949" width="12.7265625" style="266" customWidth="1"/>
    <col min="7950" max="7950" width="11" style="266" customWidth="1"/>
    <col min="7951" max="7951" width="0" style="266" hidden="1" customWidth="1"/>
    <col min="7952" max="7953" width="11.7265625" style="266" customWidth="1"/>
    <col min="7954" max="8192" width="9.26953125" style="266"/>
    <col min="8193" max="8193" width="70" style="266" customWidth="1"/>
    <col min="8194" max="8205" width="12.7265625" style="266" customWidth="1"/>
    <col min="8206" max="8206" width="11" style="266" customWidth="1"/>
    <col min="8207" max="8207" width="0" style="266" hidden="1" customWidth="1"/>
    <col min="8208" max="8209" width="11.7265625" style="266" customWidth="1"/>
    <col min="8210" max="8448" width="9.26953125" style="266"/>
    <col min="8449" max="8449" width="70" style="266" customWidth="1"/>
    <col min="8450" max="8461" width="12.7265625" style="266" customWidth="1"/>
    <col min="8462" max="8462" width="11" style="266" customWidth="1"/>
    <col min="8463" max="8463" width="0" style="266" hidden="1" customWidth="1"/>
    <col min="8464" max="8465" width="11.7265625" style="266" customWidth="1"/>
    <col min="8466" max="8704" width="9.26953125" style="266"/>
    <col min="8705" max="8705" width="70" style="266" customWidth="1"/>
    <col min="8706" max="8717" width="12.7265625" style="266" customWidth="1"/>
    <col min="8718" max="8718" width="11" style="266" customWidth="1"/>
    <col min="8719" max="8719" width="0" style="266" hidden="1" customWidth="1"/>
    <col min="8720" max="8721" width="11.7265625" style="266" customWidth="1"/>
    <col min="8722" max="8960" width="9.26953125" style="266"/>
    <col min="8961" max="8961" width="70" style="266" customWidth="1"/>
    <col min="8962" max="8973" width="12.7265625" style="266" customWidth="1"/>
    <col min="8974" max="8974" width="11" style="266" customWidth="1"/>
    <col min="8975" max="8975" width="0" style="266" hidden="1" customWidth="1"/>
    <col min="8976" max="8977" width="11.7265625" style="266" customWidth="1"/>
    <col min="8978" max="9216" width="9.26953125" style="266"/>
    <col min="9217" max="9217" width="70" style="266" customWidth="1"/>
    <col min="9218" max="9229" width="12.7265625" style="266" customWidth="1"/>
    <col min="9230" max="9230" width="11" style="266" customWidth="1"/>
    <col min="9231" max="9231" width="0" style="266" hidden="1" customWidth="1"/>
    <col min="9232" max="9233" width="11.7265625" style="266" customWidth="1"/>
    <col min="9234" max="9472" width="9.26953125" style="266"/>
    <col min="9473" max="9473" width="70" style="266" customWidth="1"/>
    <col min="9474" max="9485" width="12.7265625" style="266" customWidth="1"/>
    <col min="9486" max="9486" width="11" style="266" customWidth="1"/>
    <col min="9487" max="9487" width="0" style="266" hidden="1" customWidth="1"/>
    <col min="9488" max="9489" width="11.7265625" style="266" customWidth="1"/>
    <col min="9490" max="9728" width="9.26953125" style="266"/>
    <col min="9729" max="9729" width="70" style="266" customWidth="1"/>
    <col min="9730" max="9741" width="12.7265625" style="266" customWidth="1"/>
    <col min="9742" max="9742" width="11" style="266" customWidth="1"/>
    <col min="9743" max="9743" width="0" style="266" hidden="1" customWidth="1"/>
    <col min="9744" max="9745" width="11.7265625" style="266" customWidth="1"/>
    <col min="9746" max="9984" width="9.26953125" style="266"/>
    <col min="9985" max="9985" width="70" style="266" customWidth="1"/>
    <col min="9986" max="9997" width="12.7265625" style="266" customWidth="1"/>
    <col min="9998" max="9998" width="11" style="266" customWidth="1"/>
    <col min="9999" max="9999" width="0" style="266" hidden="1" customWidth="1"/>
    <col min="10000" max="10001" width="11.7265625" style="266" customWidth="1"/>
    <col min="10002" max="10240" width="9.26953125" style="266"/>
    <col min="10241" max="10241" width="70" style="266" customWidth="1"/>
    <col min="10242" max="10253" width="12.7265625" style="266" customWidth="1"/>
    <col min="10254" max="10254" width="11" style="266" customWidth="1"/>
    <col min="10255" max="10255" width="0" style="266" hidden="1" customWidth="1"/>
    <col min="10256" max="10257" width="11.7265625" style="266" customWidth="1"/>
    <col min="10258" max="10496" width="9.26953125" style="266"/>
    <col min="10497" max="10497" width="70" style="266" customWidth="1"/>
    <col min="10498" max="10509" width="12.7265625" style="266" customWidth="1"/>
    <col min="10510" max="10510" width="11" style="266" customWidth="1"/>
    <col min="10511" max="10511" width="0" style="266" hidden="1" customWidth="1"/>
    <col min="10512" max="10513" width="11.7265625" style="266" customWidth="1"/>
    <col min="10514" max="10752" width="9.26953125" style="266"/>
    <col min="10753" max="10753" width="70" style="266" customWidth="1"/>
    <col min="10754" max="10765" width="12.7265625" style="266" customWidth="1"/>
    <col min="10766" max="10766" width="11" style="266" customWidth="1"/>
    <col min="10767" max="10767" width="0" style="266" hidden="1" customWidth="1"/>
    <col min="10768" max="10769" width="11.7265625" style="266" customWidth="1"/>
    <col min="10770" max="11008" width="9.26953125" style="266"/>
    <col min="11009" max="11009" width="70" style="266" customWidth="1"/>
    <col min="11010" max="11021" width="12.7265625" style="266" customWidth="1"/>
    <col min="11022" max="11022" width="11" style="266" customWidth="1"/>
    <col min="11023" max="11023" width="0" style="266" hidden="1" customWidth="1"/>
    <col min="11024" max="11025" width="11.7265625" style="266" customWidth="1"/>
    <col min="11026" max="11264" width="9.26953125" style="266"/>
    <col min="11265" max="11265" width="70" style="266" customWidth="1"/>
    <col min="11266" max="11277" width="12.7265625" style="266" customWidth="1"/>
    <col min="11278" max="11278" width="11" style="266" customWidth="1"/>
    <col min="11279" max="11279" width="0" style="266" hidden="1" customWidth="1"/>
    <col min="11280" max="11281" width="11.7265625" style="266" customWidth="1"/>
    <col min="11282" max="11520" width="9.26953125" style="266"/>
    <col min="11521" max="11521" width="70" style="266" customWidth="1"/>
    <col min="11522" max="11533" width="12.7265625" style="266" customWidth="1"/>
    <col min="11534" max="11534" width="11" style="266" customWidth="1"/>
    <col min="11535" max="11535" width="0" style="266" hidden="1" customWidth="1"/>
    <col min="11536" max="11537" width="11.7265625" style="266" customWidth="1"/>
    <col min="11538" max="11776" width="9.26953125" style="266"/>
    <col min="11777" max="11777" width="70" style="266" customWidth="1"/>
    <col min="11778" max="11789" width="12.7265625" style="266" customWidth="1"/>
    <col min="11790" max="11790" width="11" style="266" customWidth="1"/>
    <col min="11791" max="11791" width="0" style="266" hidden="1" customWidth="1"/>
    <col min="11792" max="11793" width="11.7265625" style="266" customWidth="1"/>
    <col min="11794" max="12032" width="9.26953125" style="266"/>
    <col min="12033" max="12033" width="70" style="266" customWidth="1"/>
    <col min="12034" max="12045" width="12.7265625" style="266" customWidth="1"/>
    <col min="12046" max="12046" width="11" style="266" customWidth="1"/>
    <col min="12047" max="12047" width="0" style="266" hidden="1" customWidth="1"/>
    <col min="12048" max="12049" width="11.7265625" style="266" customWidth="1"/>
    <col min="12050" max="12288" width="9.26953125" style="266"/>
    <col min="12289" max="12289" width="70" style="266" customWidth="1"/>
    <col min="12290" max="12301" width="12.7265625" style="266" customWidth="1"/>
    <col min="12302" max="12302" width="11" style="266" customWidth="1"/>
    <col min="12303" max="12303" width="0" style="266" hidden="1" customWidth="1"/>
    <col min="12304" max="12305" width="11.7265625" style="266" customWidth="1"/>
    <col min="12306" max="12544" width="9.26953125" style="266"/>
    <col min="12545" max="12545" width="70" style="266" customWidth="1"/>
    <col min="12546" max="12557" width="12.7265625" style="266" customWidth="1"/>
    <col min="12558" max="12558" width="11" style="266" customWidth="1"/>
    <col min="12559" max="12559" width="0" style="266" hidden="1" customWidth="1"/>
    <col min="12560" max="12561" width="11.7265625" style="266" customWidth="1"/>
    <col min="12562" max="12800" width="9.26953125" style="266"/>
    <col min="12801" max="12801" width="70" style="266" customWidth="1"/>
    <col min="12802" max="12813" width="12.7265625" style="266" customWidth="1"/>
    <col min="12814" max="12814" width="11" style="266" customWidth="1"/>
    <col min="12815" max="12815" width="0" style="266" hidden="1" customWidth="1"/>
    <col min="12816" max="12817" width="11.7265625" style="266" customWidth="1"/>
    <col min="12818" max="13056" width="9.26953125" style="266"/>
    <col min="13057" max="13057" width="70" style="266" customWidth="1"/>
    <col min="13058" max="13069" width="12.7265625" style="266" customWidth="1"/>
    <col min="13070" max="13070" width="11" style="266" customWidth="1"/>
    <col min="13071" max="13071" width="0" style="266" hidden="1" customWidth="1"/>
    <col min="13072" max="13073" width="11.7265625" style="266" customWidth="1"/>
    <col min="13074" max="13312" width="9.26953125" style="266"/>
    <col min="13313" max="13313" width="70" style="266" customWidth="1"/>
    <col min="13314" max="13325" width="12.7265625" style="266" customWidth="1"/>
    <col min="13326" max="13326" width="11" style="266" customWidth="1"/>
    <col min="13327" max="13327" width="0" style="266" hidden="1" customWidth="1"/>
    <col min="13328" max="13329" width="11.7265625" style="266" customWidth="1"/>
    <col min="13330" max="13568" width="9.26953125" style="266"/>
    <col min="13569" max="13569" width="70" style="266" customWidth="1"/>
    <col min="13570" max="13581" width="12.7265625" style="266" customWidth="1"/>
    <col min="13582" max="13582" width="11" style="266" customWidth="1"/>
    <col min="13583" max="13583" width="0" style="266" hidden="1" customWidth="1"/>
    <col min="13584" max="13585" width="11.7265625" style="266" customWidth="1"/>
    <col min="13586" max="13824" width="9.26953125" style="266"/>
    <col min="13825" max="13825" width="70" style="266" customWidth="1"/>
    <col min="13826" max="13837" width="12.7265625" style="266" customWidth="1"/>
    <col min="13838" max="13838" width="11" style="266" customWidth="1"/>
    <col min="13839" max="13839" width="0" style="266" hidden="1" customWidth="1"/>
    <col min="13840" max="13841" width="11.7265625" style="266" customWidth="1"/>
    <col min="13842" max="14080" width="9.26953125" style="266"/>
    <col min="14081" max="14081" width="70" style="266" customWidth="1"/>
    <col min="14082" max="14093" width="12.7265625" style="266" customWidth="1"/>
    <col min="14094" max="14094" width="11" style="266" customWidth="1"/>
    <col min="14095" max="14095" width="0" style="266" hidden="1" customWidth="1"/>
    <col min="14096" max="14097" width="11.7265625" style="266" customWidth="1"/>
    <col min="14098" max="14336" width="9.26953125" style="266"/>
    <col min="14337" max="14337" width="70" style="266" customWidth="1"/>
    <col min="14338" max="14349" width="12.7265625" style="266" customWidth="1"/>
    <col min="14350" max="14350" width="11" style="266" customWidth="1"/>
    <col min="14351" max="14351" width="0" style="266" hidden="1" customWidth="1"/>
    <col min="14352" max="14353" width="11.7265625" style="266" customWidth="1"/>
    <col min="14354" max="14592" width="9.26953125" style="266"/>
    <col min="14593" max="14593" width="70" style="266" customWidth="1"/>
    <col min="14594" max="14605" width="12.7265625" style="266" customWidth="1"/>
    <col min="14606" max="14606" width="11" style="266" customWidth="1"/>
    <col min="14607" max="14607" width="0" style="266" hidden="1" customWidth="1"/>
    <col min="14608" max="14609" width="11.7265625" style="266" customWidth="1"/>
    <col min="14610" max="14848" width="9.26953125" style="266"/>
    <col min="14849" max="14849" width="70" style="266" customWidth="1"/>
    <col min="14850" max="14861" width="12.7265625" style="266" customWidth="1"/>
    <col min="14862" max="14862" width="11" style="266" customWidth="1"/>
    <col min="14863" max="14863" width="0" style="266" hidden="1" customWidth="1"/>
    <col min="14864" max="14865" width="11.7265625" style="266" customWidth="1"/>
    <col min="14866" max="15104" width="9.26953125" style="266"/>
    <col min="15105" max="15105" width="70" style="266" customWidth="1"/>
    <col min="15106" max="15117" width="12.7265625" style="266" customWidth="1"/>
    <col min="15118" max="15118" width="11" style="266" customWidth="1"/>
    <col min="15119" max="15119" width="0" style="266" hidden="1" customWidth="1"/>
    <col min="15120" max="15121" width="11.7265625" style="266" customWidth="1"/>
    <col min="15122" max="15360" width="9.26953125" style="266"/>
    <col min="15361" max="15361" width="70" style="266" customWidth="1"/>
    <col min="15362" max="15373" width="12.7265625" style="266" customWidth="1"/>
    <col min="15374" max="15374" width="11" style="266" customWidth="1"/>
    <col min="15375" max="15375" width="0" style="266" hidden="1" customWidth="1"/>
    <col min="15376" max="15377" width="11.7265625" style="266" customWidth="1"/>
    <col min="15378" max="15616" width="9.26953125" style="266"/>
    <col min="15617" max="15617" width="70" style="266" customWidth="1"/>
    <col min="15618" max="15629" width="12.7265625" style="266" customWidth="1"/>
    <col min="15630" max="15630" width="11" style="266" customWidth="1"/>
    <col min="15631" max="15631" width="0" style="266" hidden="1" customWidth="1"/>
    <col min="15632" max="15633" width="11.7265625" style="266" customWidth="1"/>
    <col min="15634" max="15872" width="9.26953125" style="266"/>
    <col min="15873" max="15873" width="70" style="266" customWidth="1"/>
    <col min="15874" max="15885" width="12.7265625" style="266" customWidth="1"/>
    <col min="15886" max="15886" width="11" style="266" customWidth="1"/>
    <col min="15887" max="15887" width="0" style="266" hidden="1" customWidth="1"/>
    <col min="15888" max="15889" width="11.7265625" style="266" customWidth="1"/>
    <col min="15890" max="16128" width="9.26953125" style="266"/>
    <col min="16129" max="16129" width="70" style="266" customWidth="1"/>
    <col min="16130" max="16141" width="12.7265625" style="266" customWidth="1"/>
    <col min="16142" max="16142" width="11" style="266" customWidth="1"/>
    <col min="16143" max="16143" width="0" style="266" hidden="1" customWidth="1"/>
    <col min="16144" max="16145" width="11.7265625" style="266" customWidth="1"/>
    <col min="16146" max="16384" width="9.26953125" style="266"/>
  </cols>
  <sheetData>
    <row r="1" spans="1:17" ht="13.5" customHeight="1">
      <c r="L1" s="267"/>
      <c r="O1" s="267"/>
      <c r="P1" s="267"/>
      <c r="Q1" s="267"/>
    </row>
    <row r="2" spans="1:17" ht="13.5" customHeight="1">
      <c r="C2" s="381" t="s">
        <v>39</v>
      </c>
      <c r="L2" s="267"/>
      <c r="O2" s="267"/>
      <c r="P2" s="267"/>
      <c r="Q2" s="267"/>
    </row>
    <row r="3" spans="1:17" ht="13.5" customHeight="1">
      <c r="C3" s="381" t="s">
        <v>124</v>
      </c>
      <c r="F3" s="268"/>
      <c r="G3" s="268"/>
      <c r="H3" s="268"/>
      <c r="I3" s="268"/>
      <c r="L3" s="267"/>
      <c r="O3" s="267"/>
      <c r="P3" s="267"/>
      <c r="Q3" s="267"/>
    </row>
    <row r="4" spans="1:17" ht="13.5" customHeight="1">
      <c r="B4" s="268"/>
      <c r="C4" s="382" t="str">
        <f>'Program MW '!H3</f>
        <v>January 2021</v>
      </c>
      <c r="D4" s="268"/>
      <c r="L4" s="267"/>
      <c r="O4" s="267"/>
      <c r="P4" s="267"/>
      <c r="Q4" s="267"/>
    </row>
    <row r="5" spans="1:17" ht="13.5" customHeight="1">
      <c r="L5" s="267"/>
      <c r="O5" s="267"/>
      <c r="P5" s="267"/>
      <c r="Q5" s="267"/>
    </row>
    <row r="6" spans="1:17" s="280" customFormat="1" ht="13.5" customHeight="1"/>
    <row r="7" spans="1:17" s="280" customFormat="1" ht="18" customHeight="1">
      <c r="A7" s="309"/>
      <c r="B7" s="383" t="s">
        <v>264</v>
      </c>
      <c r="C7" s="309"/>
      <c r="D7" s="309"/>
      <c r="E7" s="309"/>
      <c r="F7" s="309"/>
      <c r="G7" s="309"/>
      <c r="H7" s="309"/>
      <c r="I7" s="309"/>
      <c r="J7" s="309"/>
      <c r="K7" s="309"/>
      <c r="L7" s="309"/>
      <c r="M7" s="309"/>
      <c r="N7" s="685" t="s">
        <v>250</v>
      </c>
      <c r="O7" s="683" t="s">
        <v>252</v>
      </c>
      <c r="P7" s="281"/>
      <c r="Q7" s="685" t="s">
        <v>125</v>
      </c>
    </row>
    <row r="8" spans="1:17" s="280" customFormat="1" ht="39" customHeight="1">
      <c r="A8" s="371"/>
      <c r="B8" s="384" t="s">
        <v>41</v>
      </c>
      <c r="C8" s="385" t="s">
        <v>42</v>
      </c>
      <c r="D8" s="385" t="s">
        <v>43</v>
      </c>
      <c r="E8" s="385" t="s">
        <v>44</v>
      </c>
      <c r="F8" s="385" t="s">
        <v>31</v>
      </c>
      <c r="G8" s="385" t="s">
        <v>45</v>
      </c>
      <c r="H8" s="385" t="s">
        <v>59</v>
      </c>
      <c r="I8" s="385" t="s">
        <v>67</v>
      </c>
      <c r="J8" s="385" t="s">
        <v>68</v>
      </c>
      <c r="K8" s="415" t="s">
        <v>126</v>
      </c>
      <c r="L8" s="385" t="s">
        <v>69</v>
      </c>
      <c r="M8" s="385" t="s">
        <v>62</v>
      </c>
      <c r="N8" s="686"/>
      <c r="O8" s="684"/>
      <c r="P8" s="282" t="s">
        <v>127</v>
      </c>
      <c r="Q8" s="686"/>
    </row>
    <row r="9" spans="1:17" s="280" customFormat="1" ht="15.5">
      <c r="A9" s="390" t="s">
        <v>128</v>
      </c>
      <c r="B9" s="369"/>
      <c r="N9" s="316"/>
      <c r="Q9" s="289"/>
    </row>
    <row r="10" spans="1:17" s="280" customFormat="1" ht="13">
      <c r="A10" s="386" t="s">
        <v>129</v>
      </c>
      <c r="B10" s="369"/>
      <c r="C10" s="369"/>
      <c r="D10" s="369"/>
      <c r="E10" s="369"/>
      <c r="F10" s="369"/>
      <c r="G10" s="369"/>
      <c r="H10" s="369"/>
      <c r="I10" s="369"/>
      <c r="J10" s="369"/>
      <c r="K10" s="369"/>
      <c r="L10" s="369"/>
      <c r="M10" s="369"/>
      <c r="N10" s="316"/>
      <c r="O10" s="368"/>
      <c r="P10" s="284"/>
      <c r="Q10" s="290"/>
    </row>
    <row r="11" spans="1:17" s="280" customFormat="1" ht="13">
      <c r="A11" s="387" t="s">
        <v>130</v>
      </c>
      <c r="B11" s="490">
        <v>11850</v>
      </c>
      <c r="C11" s="490">
        <v>0</v>
      </c>
      <c r="D11" s="490">
        <v>0</v>
      </c>
      <c r="E11" s="490">
        <v>0</v>
      </c>
      <c r="F11" s="490">
        <v>0</v>
      </c>
      <c r="G11" s="490">
        <v>0</v>
      </c>
      <c r="H11" s="490">
        <v>0</v>
      </c>
      <c r="I11" s="490">
        <v>0</v>
      </c>
      <c r="J11" s="490">
        <v>0</v>
      </c>
      <c r="K11" s="490">
        <v>0</v>
      </c>
      <c r="L11" s="490">
        <v>0</v>
      </c>
      <c r="M11" s="490">
        <v>0</v>
      </c>
      <c r="N11" s="660">
        <f t="shared" ref="N11:N22" si="0">SUM(B11:M11)</f>
        <v>11850</v>
      </c>
      <c r="O11" s="661">
        <f>707141+443068+428874+N11</f>
        <v>1590933</v>
      </c>
      <c r="P11" s="662"/>
      <c r="Q11" s="659">
        <f>848010+857842+857842+250000</f>
        <v>2813694</v>
      </c>
    </row>
    <row r="12" spans="1:17" s="280" customFormat="1" ht="15">
      <c r="A12" s="387" t="s">
        <v>265</v>
      </c>
      <c r="B12" s="490">
        <v>0</v>
      </c>
      <c r="C12" s="490">
        <v>0</v>
      </c>
      <c r="D12" s="490">
        <v>0</v>
      </c>
      <c r="E12" s="490">
        <v>0</v>
      </c>
      <c r="F12" s="490">
        <v>0</v>
      </c>
      <c r="G12" s="490">
        <v>0</v>
      </c>
      <c r="H12" s="490">
        <v>0</v>
      </c>
      <c r="I12" s="490">
        <v>0</v>
      </c>
      <c r="J12" s="490">
        <v>0</v>
      </c>
      <c r="K12" s="490">
        <v>0</v>
      </c>
      <c r="L12" s="490">
        <v>0</v>
      </c>
      <c r="M12" s="490">
        <v>0</v>
      </c>
      <c r="N12" s="656">
        <f t="shared" si="0"/>
        <v>0</v>
      </c>
      <c r="O12" s="657">
        <f>7808+9482+6823+N12</f>
        <v>24113</v>
      </c>
      <c r="P12" s="658"/>
      <c r="Q12" s="659">
        <v>35302</v>
      </c>
    </row>
    <row r="13" spans="1:17" s="280" customFormat="1" ht="13">
      <c r="A13" s="387" t="s">
        <v>131</v>
      </c>
      <c r="B13" s="490">
        <v>0</v>
      </c>
      <c r="C13" s="490">
        <v>0</v>
      </c>
      <c r="D13" s="490">
        <v>0</v>
      </c>
      <c r="E13" s="490">
        <v>0</v>
      </c>
      <c r="F13" s="490">
        <v>0</v>
      </c>
      <c r="G13" s="490">
        <v>0</v>
      </c>
      <c r="H13" s="490">
        <v>0</v>
      </c>
      <c r="I13" s="490">
        <v>0</v>
      </c>
      <c r="J13" s="490">
        <v>0</v>
      </c>
      <c r="K13" s="490">
        <v>0</v>
      </c>
      <c r="L13" s="490">
        <v>0</v>
      </c>
      <c r="M13" s="490">
        <v>0</v>
      </c>
      <c r="N13" s="515">
        <f t="shared" si="0"/>
        <v>0</v>
      </c>
      <c r="O13" s="491">
        <f>0+N13</f>
        <v>0</v>
      </c>
      <c r="P13" s="492"/>
      <c r="Q13" s="493">
        <v>1000</v>
      </c>
    </row>
    <row r="14" spans="1:17" s="280" customFormat="1" ht="13">
      <c r="A14" s="387" t="s">
        <v>266</v>
      </c>
      <c r="B14" s="490">
        <v>0</v>
      </c>
      <c r="C14" s="490">
        <v>0</v>
      </c>
      <c r="D14" s="490">
        <v>0</v>
      </c>
      <c r="E14" s="490">
        <v>0</v>
      </c>
      <c r="F14" s="490">
        <v>0</v>
      </c>
      <c r="G14" s="490">
        <v>0</v>
      </c>
      <c r="H14" s="490">
        <v>0</v>
      </c>
      <c r="I14" s="490">
        <v>0</v>
      </c>
      <c r="J14" s="490">
        <v>0</v>
      </c>
      <c r="K14" s="490">
        <v>0</v>
      </c>
      <c r="L14" s="490">
        <v>0</v>
      </c>
      <c r="M14" s="490">
        <v>0</v>
      </c>
      <c r="N14" s="515">
        <f t="shared" si="0"/>
        <v>0</v>
      </c>
      <c r="O14" s="491">
        <f>4889+16666+13948+N14</f>
        <v>35503</v>
      </c>
      <c r="P14" s="492"/>
      <c r="Q14" s="493">
        <v>78149</v>
      </c>
    </row>
    <row r="15" spans="1:17" s="280" customFormat="1" ht="15">
      <c r="A15" s="387" t="s">
        <v>267</v>
      </c>
      <c r="B15" s="490">
        <v>0</v>
      </c>
      <c r="C15" s="490">
        <v>0</v>
      </c>
      <c r="D15" s="490">
        <v>0</v>
      </c>
      <c r="E15" s="490">
        <v>0</v>
      </c>
      <c r="F15" s="490">
        <v>0</v>
      </c>
      <c r="G15" s="490">
        <v>0</v>
      </c>
      <c r="H15" s="490">
        <v>0</v>
      </c>
      <c r="I15" s="490">
        <v>0</v>
      </c>
      <c r="J15" s="490">
        <v>0</v>
      </c>
      <c r="K15" s="490">
        <v>0</v>
      </c>
      <c r="L15" s="490">
        <v>0</v>
      </c>
      <c r="M15" s="490">
        <v>0</v>
      </c>
      <c r="N15" s="515">
        <f t="shared" si="0"/>
        <v>0</v>
      </c>
      <c r="O15" s="491">
        <f>49396+43751+41371+N15</f>
        <v>134518</v>
      </c>
      <c r="P15" s="492"/>
      <c r="Q15" s="493">
        <f>606299/2</f>
        <v>303149.5</v>
      </c>
    </row>
    <row r="16" spans="1:17" s="280" customFormat="1" ht="13">
      <c r="A16" s="387" t="s">
        <v>268</v>
      </c>
      <c r="B16" s="490">
        <v>0</v>
      </c>
      <c r="C16" s="490">
        <v>0</v>
      </c>
      <c r="D16" s="490">
        <v>0</v>
      </c>
      <c r="E16" s="490">
        <v>0</v>
      </c>
      <c r="F16" s="490">
        <v>0</v>
      </c>
      <c r="G16" s="490">
        <v>0</v>
      </c>
      <c r="H16" s="490">
        <v>0</v>
      </c>
      <c r="I16" s="490">
        <v>0</v>
      </c>
      <c r="J16" s="490">
        <v>0</v>
      </c>
      <c r="K16" s="490">
        <v>0</v>
      </c>
      <c r="L16" s="490">
        <v>0</v>
      </c>
      <c r="M16" s="490">
        <v>0</v>
      </c>
      <c r="N16" s="515">
        <f t="shared" si="0"/>
        <v>0</v>
      </c>
      <c r="O16" s="491">
        <f>30843+118853+87496+N16</f>
        <v>237192</v>
      </c>
      <c r="P16" s="492"/>
      <c r="Q16" s="493">
        <v>303150</v>
      </c>
    </row>
    <row r="17" spans="1:122" s="280" customFormat="1" ht="13">
      <c r="A17" s="387" t="s">
        <v>269</v>
      </c>
      <c r="B17" s="490">
        <v>0</v>
      </c>
      <c r="C17" s="490">
        <v>0</v>
      </c>
      <c r="D17" s="490">
        <v>0</v>
      </c>
      <c r="E17" s="490">
        <v>0</v>
      </c>
      <c r="F17" s="490">
        <v>0</v>
      </c>
      <c r="G17" s="490">
        <v>0</v>
      </c>
      <c r="H17" s="490">
        <v>0</v>
      </c>
      <c r="I17" s="490">
        <v>0</v>
      </c>
      <c r="J17" s="490">
        <v>0</v>
      </c>
      <c r="K17" s="490">
        <v>0</v>
      </c>
      <c r="L17" s="490">
        <v>0</v>
      </c>
      <c r="M17" s="490">
        <v>0</v>
      </c>
      <c r="N17" s="515">
        <f t="shared" si="0"/>
        <v>0</v>
      </c>
      <c r="O17" s="491">
        <f>73278+155232+113200+N17</f>
        <v>341710</v>
      </c>
      <c r="P17" s="492"/>
      <c r="Q17" s="493">
        <v>643043</v>
      </c>
    </row>
    <row r="18" spans="1:122" s="280" customFormat="1" ht="13">
      <c r="A18" s="388" t="s">
        <v>270</v>
      </c>
      <c r="B18" s="490">
        <v>0</v>
      </c>
      <c r="C18" s="490">
        <v>0</v>
      </c>
      <c r="D18" s="490">
        <v>0</v>
      </c>
      <c r="E18" s="490">
        <v>0</v>
      </c>
      <c r="F18" s="490">
        <v>0</v>
      </c>
      <c r="G18" s="490">
        <v>0</v>
      </c>
      <c r="H18" s="490">
        <v>0</v>
      </c>
      <c r="I18" s="490">
        <v>0</v>
      </c>
      <c r="J18" s="490">
        <v>0</v>
      </c>
      <c r="K18" s="490">
        <v>0</v>
      </c>
      <c r="L18" s="490">
        <v>0</v>
      </c>
      <c r="M18" s="490">
        <v>0</v>
      </c>
      <c r="N18" s="515">
        <f t="shared" si="0"/>
        <v>0</v>
      </c>
      <c r="O18" s="491">
        <f>21091+92048+63087+N18</f>
        <v>176226</v>
      </c>
      <c r="P18" s="492"/>
      <c r="Q18" s="493">
        <v>383701</v>
      </c>
    </row>
    <row r="19" spans="1:122" s="280" customFormat="1" ht="13">
      <c r="A19" s="388" t="s">
        <v>102</v>
      </c>
      <c r="B19" s="490">
        <v>1375</v>
      </c>
      <c r="C19" s="490">
        <v>0</v>
      </c>
      <c r="D19" s="490">
        <v>0</v>
      </c>
      <c r="E19" s="490">
        <v>0</v>
      </c>
      <c r="F19" s="490">
        <v>0</v>
      </c>
      <c r="G19" s="490">
        <v>0</v>
      </c>
      <c r="H19" s="490">
        <v>0</v>
      </c>
      <c r="I19" s="490">
        <v>0</v>
      </c>
      <c r="J19" s="490">
        <v>0</v>
      </c>
      <c r="K19" s="490">
        <v>0</v>
      </c>
      <c r="L19" s="490">
        <v>0</v>
      </c>
      <c r="M19" s="490">
        <v>0</v>
      </c>
      <c r="N19" s="515">
        <f t="shared" si="0"/>
        <v>1375</v>
      </c>
      <c r="O19" s="491">
        <f>107379+332446+264713+N19</f>
        <v>705913</v>
      </c>
      <c r="P19" s="492"/>
      <c r="Q19" s="493">
        <v>1102357</v>
      </c>
    </row>
    <row r="20" spans="1:122" s="280" customFormat="1" ht="13">
      <c r="A20" s="388" t="s">
        <v>271</v>
      </c>
      <c r="B20" s="490">
        <v>1375</v>
      </c>
      <c r="C20" s="490">
        <v>0</v>
      </c>
      <c r="D20" s="490">
        <v>0</v>
      </c>
      <c r="E20" s="490">
        <v>0</v>
      </c>
      <c r="F20" s="490">
        <v>0</v>
      </c>
      <c r="G20" s="490">
        <v>0</v>
      </c>
      <c r="H20" s="490">
        <v>0</v>
      </c>
      <c r="I20" s="490">
        <v>0</v>
      </c>
      <c r="J20" s="490">
        <v>0</v>
      </c>
      <c r="K20" s="490">
        <v>0</v>
      </c>
      <c r="L20" s="490">
        <v>0</v>
      </c>
      <c r="M20" s="490">
        <v>0</v>
      </c>
      <c r="N20" s="515">
        <f t="shared" si="0"/>
        <v>1375</v>
      </c>
      <c r="O20" s="491">
        <f>210842+454257+423019+N20</f>
        <v>1089493</v>
      </c>
      <c r="P20" s="492"/>
      <c r="Q20" s="493">
        <v>1653537</v>
      </c>
    </row>
    <row r="21" spans="1:122" s="280" customFormat="1" ht="13">
      <c r="A21" s="388" t="s">
        <v>132</v>
      </c>
      <c r="B21" s="490">
        <v>0</v>
      </c>
      <c r="C21" s="490">
        <v>0</v>
      </c>
      <c r="D21" s="490">
        <v>0</v>
      </c>
      <c r="E21" s="490">
        <v>0</v>
      </c>
      <c r="F21" s="490">
        <v>0</v>
      </c>
      <c r="G21" s="490">
        <v>0</v>
      </c>
      <c r="H21" s="490">
        <v>0</v>
      </c>
      <c r="I21" s="490">
        <v>0</v>
      </c>
      <c r="J21" s="490">
        <v>0</v>
      </c>
      <c r="K21" s="490">
        <v>0</v>
      </c>
      <c r="L21" s="490">
        <v>0</v>
      </c>
      <c r="M21" s="490">
        <v>0</v>
      </c>
      <c r="N21" s="515">
        <f t="shared" si="0"/>
        <v>0</v>
      </c>
      <c r="O21" s="491">
        <f>2328+N21</f>
        <v>2328</v>
      </c>
      <c r="P21" s="492"/>
      <c r="Q21" s="493">
        <v>0</v>
      </c>
    </row>
    <row r="22" spans="1:122" s="280" customFormat="1" ht="13">
      <c r="A22" s="389" t="s">
        <v>133</v>
      </c>
      <c r="B22" s="490">
        <v>0</v>
      </c>
      <c r="C22" s="490">
        <v>0</v>
      </c>
      <c r="D22" s="490">
        <v>0</v>
      </c>
      <c r="E22" s="490">
        <v>0</v>
      </c>
      <c r="F22" s="490">
        <v>0</v>
      </c>
      <c r="G22" s="490">
        <v>0</v>
      </c>
      <c r="H22" s="490">
        <v>0</v>
      </c>
      <c r="I22" s="490">
        <v>0</v>
      </c>
      <c r="J22" s="490">
        <v>0</v>
      </c>
      <c r="K22" s="490">
        <v>0</v>
      </c>
      <c r="L22" s="490">
        <v>0</v>
      </c>
      <c r="M22" s="490">
        <v>0</v>
      </c>
      <c r="N22" s="515">
        <f t="shared" si="0"/>
        <v>0</v>
      </c>
      <c r="O22" s="491">
        <f>530+N22</f>
        <v>530</v>
      </c>
      <c r="P22" s="492"/>
      <c r="Q22" s="493">
        <v>50000</v>
      </c>
    </row>
    <row r="23" spans="1:122" s="285" customFormat="1" ht="15.5">
      <c r="A23" s="391" t="s">
        <v>134</v>
      </c>
      <c r="B23" s="494">
        <f t="shared" ref="B23:M23" si="1">SUM(B11:B22)</f>
        <v>14600</v>
      </c>
      <c r="C23" s="494">
        <f t="shared" si="1"/>
        <v>0</v>
      </c>
      <c r="D23" s="494">
        <f t="shared" si="1"/>
        <v>0</v>
      </c>
      <c r="E23" s="494">
        <f t="shared" si="1"/>
        <v>0</v>
      </c>
      <c r="F23" s="494">
        <f t="shared" si="1"/>
        <v>0</v>
      </c>
      <c r="G23" s="494">
        <f t="shared" si="1"/>
        <v>0</v>
      </c>
      <c r="H23" s="494">
        <f t="shared" si="1"/>
        <v>0</v>
      </c>
      <c r="I23" s="494">
        <f t="shared" si="1"/>
        <v>0</v>
      </c>
      <c r="J23" s="494">
        <f t="shared" si="1"/>
        <v>0</v>
      </c>
      <c r="K23" s="494">
        <f t="shared" si="1"/>
        <v>0</v>
      </c>
      <c r="L23" s="494">
        <f t="shared" si="1"/>
        <v>0</v>
      </c>
      <c r="M23" s="494">
        <f t="shared" si="1"/>
        <v>0</v>
      </c>
      <c r="N23" s="653">
        <f>SUM(N11:N22)</f>
        <v>14600</v>
      </c>
      <c r="O23" s="495">
        <f>SUM(O11:O22)</f>
        <v>4338459</v>
      </c>
      <c r="P23" s="496"/>
      <c r="Q23" s="495">
        <f>SUM(Q11:Q22)</f>
        <v>7367082.5</v>
      </c>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row>
    <row r="24" spans="1:122" s="280" customFormat="1" ht="13">
      <c r="A24" s="291"/>
      <c r="B24" s="497"/>
      <c r="C24" s="498"/>
      <c r="D24" s="498"/>
      <c r="E24" s="498"/>
      <c r="F24" s="498"/>
      <c r="G24" s="498"/>
      <c r="H24" s="498"/>
      <c r="I24" s="498"/>
      <c r="J24" s="498"/>
      <c r="K24" s="498"/>
      <c r="L24" s="498"/>
      <c r="M24" s="498"/>
      <c r="N24" s="498"/>
      <c r="O24" s="498"/>
      <c r="P24" s="498"/>
      <c r="Q24" s="499"/>
    </row>
    <row r="25" spans="1:122" s="280" customFormat="1" ht="15.5">
      <c r="A25" s="392" t="s">
        <v>135</v>
      </c>
      <c r="B25" s="497"/>
      <c r="C25" s="500"/>
      <c r="D25" s="500"/>
      <c r="E25" s="500"/>
      <c r="F25" s="500"/>
      <c r="G25" s="500"/>
      <c r="H25" s="500"/>
      <c r="I25" s="500"/>
      <c r="J25" s="500"/>
      <c r="K25" s="500"/>
      <c r="L25" s="500"/>
      <c r="M25" s="500"/>
      <c r="N25" s="501"/>
      <c r="O25" s="500"/>
      <c r="P25" s="498"/>
      <c r="Q25" s="502"/>
    </row>
    <row r="26" spans="1:122" s="280" customFormat="1" ht="13">
      <c r="A26" s="388" t="s">
        <v>136</v>
      </c>
      <c r="B26" s="503">
        <v>0</v>
      </c>
      <c r="C26" s="503">
        <v>0</v>
      </c>
      <c r="D26" s="503">
        <v>0</v>
      </c>
      <c r="E26" s="503">
        <v>0</v>
      </c>
      <c r="F26" s="503">
        <v>0</v>
      </c>
      <c r="G26" s="503">
        <v>0</v>
      </c>
      <c r="H26" s="503">
        <v>0</v>
      </c>
      <c r="I26" s="503">
        <v>0</v>
      </c>
      <c r="J26" s="503">
        <v>0</v>
      </c>
      <c r="K26" s="503">
        <v>0</v>
      </c>
      <c r="L26" s="503">
        <v>0</v>
      </c>
      <c r="M26" s="503">
        <v>0</v>
      </c>
      <c r="N26" s="654">
        <f t="shared" ref="N26:N30" si="2">SUM(B26:M26)</f>
        <v>0</v>
      </c>
      <c r="O26" s="504">
        <f>0+N26</f>
        <v>0</v>
      </c>
      <c r="P26" s="498"/>
      <c r="Q26" s="499"/>
    </row>
    <row r="27" spans="1:122" s="280" customFormat="1" ht="13">
      <c r="A27" s="387" t="s">
        <v>272</v>
      </c>
      <c r="B27" s="505">
        <v>0.49</v>
      </c>
      <c r="C27" s="505">
        <v>0</v>
      </c>
      <c r="D27" s="505">
        <v>0</v>
      </c>
      <c r="E27" s="505">
        <v>0</v>
      </c>
      <c r="F27" s="505">
        <v>0</v>
      </c>
      <c r="G27" s="505">
        <v>0</v>
      </c>
      <c r="H27" s="505">
        <v>0</v>
      </c>
      <c r="I27" s="505">
        <v>0</v>
      </c>
      <c r="J27" s="505">
        <v>0</v>
      </c>
      <c r="K27" s="505">
        <v>0</v>
      </c>
      <c r="L27" s="505">
        <v>0</v>
      </c>
      <c r="M27" s="505">
        <v>0</v>
      </c>
      <c r="N27" s="655">
        <f t="shared" si="2"/>
        <v>0.49</v>
      </c>
      <c r="O27" s="491">
        <f>79348+33670+134507+N27</f>
        <v>247525.49</v>
      </c>
      <c r="P27" s="498"/>
      <c r="Q27" s="499"/>
    </row>
    <row r="28" spans="1:122" s="280" customFormat="1" ht="13">
      <c r="A28" s="387" t="s">
        <v>137</v>
      </c>
      <c r="B28" s="505">
        <v>18233.669999999998</v>
      </c>
      <c r="C28" s="505">
        <v>0</v>
      </c>
      <c r="D28" s="505">
        <v>0</v>
      </c>
      <c r="E28" s="505">
        <v>0</v>
      </c>
      <c r="F28" s="505">
        <v>0</v>
      </c>
      <c r="G28" s="505">
        <v>0</v>
      </c>
      <c r="H28" s="505">
        <v>0</v>
      </c>
      <c r="I28" s="505">
        <v>0</v>
      </c>
      <c r="J28" s="505">
        <v>0</v>
      </c>
      <c r="K28" s="505">
        <v>0</v>
      </c>
      <c r="L28" s="505">
        <v>0</v>
      </c>
      <c r="M28" s="505">
        <v>0</v>
      </c>
      <c r="N28" s="655">
        <f t="shared" si="2"/>
        <v>18233.669999999998</v>
      </c>
      <c r="O28" s="491">
        <f>426330+346126+260890+N28</f>
        <v>1051579.67</v>
      </c>
      <c r="P28" s="498"/>
      <c r="Q28" s="499"/>
    </row>
    <row r="29" spans="1:122" s="280" customFormat="1" ht="15">
      <c r="A29" s="387" t="s">
        <v>273</v>
      </c>
      <c r="B29" s="505">
        <v>2750</v>
      </c>
      <c r="C29" s="505">
        <v>0</v>
      </c>
      <c r="D29" s="505">
        <v>0</v>
      </c>
      <c r="E29" s="505">
        <v>0</v>
      </c>
      <c r="F29" s="505">
        <v>0</v>
      </c>
      <c r="G29" s="505">
        <v>0</v>
      </c>
      <c r="H29" s="505">
        <v>0</v>
      </c>
      <c r="I29" s="505">
        <v>0</v>
      </c>
      <c r="J29" s="505">
        <v>0</v>
      </c>
      <c r="K29" s="505">
        <v>0</v>
      </c>
      <c r="L29" s="505">
        <v>0</v>
      </c>
      <c r="M29" s="505">
        <v>0</v>
      </c>
      <c r="N29" s="655">
        <f t="shared" si="2"/>
        <v>2750</v>
      </c>
      <c r="O29" s="491">
        <f>377868+1193884+886571+N29</f>
        <v>2461073</v>
      </c>
      <c r="P29" s="498"/>
      <c r="Q29" s="499"/>
    </row>
    <row r="30" spans="1:122" s="280" customFormat="1" ht="15">
      <c r="A30" s="387" t="s">
        <v>274</v>
      </c>
      <c r="B30" s="619">
        <v>-6384</v>
      </c>
      <c r="C30" s="506">
        <v>0</v>
      </c>
      <c r="D30" s="506">
        <v>0</v>
      </c>
      <c r="E30" s="506">
        <v>0</v>
      </c>
      <c r="F30" s="506">
        <v>0</v>
      </c>
      <c r="G30" s="506">
        <v>0</v>
      </c>
      <c r="H30" s="506">
        <v>0</v>
      </c>
      <c r="I30" s="506">
        <v>0</v>
      </c>
      <c r="J30" s="506">
        <v>0</v>
      </c>
      <c r="K30" s="506">
        <v>0</v>
      </c>
      <c r="L30" s="506">
        <v>0</v>
      </c>
      <c r="M30" s="506">
        <v>0</v>
      </c>
      <c r="N30" s="655">
        <f t="shared" si="2"/>
        <v>-6384</v>
      </c>
      <c r="O30" s="507">
        <f>331980+92124+160561+N30</f>
        <v>578281</v>
      </c>
      <c r="P30" s="498"/>
      <c r="Q30" s="499"/>
    </row>
    <row r="31" spans="1:122" s="280" customFormat="1" ht="15.5">
      <c r="A31" s="391" t="s">
        <v>138</v>
      </c>
      <c r="B31" s="508">
        <f>SUM(B26:B30)</f>
        <v>14600.16</v>
      </c>
      <c r="C31" s="509">
        <f t="shared" ref="C31:M31" si="3">SUM(C26:C30)</f>
        <v>0</v>
      </c>
      <c r="D31" s="509">
        <f t="shared" si="3"/>
        <v>0</v>
      </c>
      <c r="E31" s="509">
        <f t="shared" si="3"/>
        <v>0</v>
      </c>
      <c r="F31" s="509">
        <f t="shared" si="3"/>
        <v>0</v>
      </c>
      <c r="G31" s="509">
        <f t="shared" si="3"/>
        <v>0</v>
      </c>
      <c r="H31" s="509">
        <f t="shared" si="3"/>
        <v>0</v>
      </c>
      <c r="I31" s="509">
        <f t="shared" si="3"/>
        <v>0</v>
      </c>
      <c r="J31" s="509">
        <f t="shared" si="3"/>
        <v>0</v>
      </c>
      <c r="K31" s="509">
        <f t="shared" si="3"/>
        <v>0</v>
      </c>
      <c r="L31" s="509">
        <f t="shared" si="3"/>
        <v>0</v>
      </c>
      <c r="M31" s="509">
        <f t="shared" si="3"/>
        <v>0</v>
      </c>
      <c r="N31" s="653">
        <f>SUM(N26:N30)</f>
        <v>14600.16</v>
      </c>
      <c r="O31" s="509">
        <f>SUM(O26:O30)</f>
        <v>4338459.16</v>
      </c>
      <c r="P31" s="496"/>
      <c r="Q31" s="510"/>
    </row>
    <row r="32" spans="1:122" s="280" customFormat="1" ht="13">
      <c r="A32" s="292"/>
      <c r="B32" s="511"/>
      <c r="C32" s="512"/>
      <c r="D32" s="512"/>
      <c r="E32" s="512"/>
      <c r="F32" s="512"/>
      <c r="G32" s="512"/>
      <c r="H32" s="512"/>
      <c r="I32" s="512"/>
      <c r="J32" s="512"/>
      <c r="K32" s="512"/>
      <c r="L32" s="512"/>
      <c r="M32" s="512"/>
      <c r="N32" s="512"/>
      <c r="O32" s="512"/>
      <c r="P32" s="513"/>
      <c r="Q32" s="514"/>
    </row>
    <row r="33" spans="1:17" s="280" customFormat="1" ht="15.5">
      <c r="A33" s="392" t="s">
        <v>139</v>
      </c>
      <c r="B33" s="497"/>
      <c r="C33" s="500"/>
      <c r="D33" s="500"/>
      <c r="E33" s="500"/>
      <c r="F33" s="500"/>
      <c r="G33" s="500"/>
      <c r="H33" s="500"/>
      <c r="I33" s="500"/>
      <c r="J33" s="500"/>
      <c r="K33" s="500"/>
      <c r="L33" s="500"/>
      <c r="M33" s="500"/>
      <c r="N33" s="501"/>
      <c r="O33" s="501"/>
      <c r="P33" s="498"/>
      <c r="Q33" s="502"/>
    </row>
    <row r="34" spans="1:17" s="280" customFormat="1" ht="15">
      <c r="A34" s="387" t="s">
        <v>140</v>
      </c>
      <c r="B34" s="503">
        <v>0</v>
      </c>
      <c r="C34" s="503">
        <v>0</v>
      </c>
      <c r="D34" s="503">
        <v>0</v>
      </c>
      <c r="E34" s="503">
        <v>0</v>
      </c>
      <c r="F34" s="503">
        <v>0</v>
      </c>
      <c r="G34" s="503">
        <v>0</v>
      </c>
      <c r="H34" s="503">
        <v>0</v>
      </c>
      <c r="I34" s="503">
        <v>0</v>
      </c>
      <c r="J34" s="503">
        <v>0</v>
      </c>
      <c r="K34" s="503">
        <v>0</v>
      </c>
      <c r="L34" s="503">
        <v>0</v>
      </c>
      <c r="M34" s="503">
        <v>0</v>
      </c>
      <c r="N34" s="654">
        <f t="shared" ref="N34:N37" si="4">SUM(B34:M34)</f>
        <v>0</v>
      </c>
      <c r="O34" s="504">
        <f>0+N34</f>
        <v>0</v>
      </c>
      <c r="P34" s="498"/>
      <c r="Q34" s="499"/>
    </row>
    <row r="35" spans="1:17" s="280" customFormat="1" ht="13">
      <c r="A35" s="388" t="s">
        <v>141</v>
      </c>
      <c r="B35" s="505">
        <v>1375</v>
      </c>
      <c r="C35" s="505">
        <v>0</v>
      </c>
      <c r="D35" s="505">
        <v>0</v>
      </c>
      <c r="E35" s="505">
        <v>0</v>
      </c>
      <c r="F35" s="505">
        <v>0</v>
      </c>
      <c r="G35" s="505">
        <v>0</v>
      </c>
      <c r="H35" s="505">
        <v>0</v>
      </c>
      <c r="I35" s="505">
        <v>0</v>
      </c>
      <c r="J35" s="505">
        <v>0</v>
      </c>
      <c r="K35" s="505">
        <v>0</v>
      </c>
      <c r="L35" s="505">
        <v>0</v>
      </c>
      <c r="M35" s="505">
        <v>0</v>
      </c>
      <c r="N35" s="655">
        <f t="shared" si="4"/>
        <v>1375</v>
      </c>
      <c r="O35" s="491">
        <f>344661+585375+472450+N35</f>
        <v>1403861</v>
      </c>
      <c r="P35" s="498"/>
      <c r="Q35" s="499"/>
    </row>
    <row r="36" spans="1:17" s="280" customFormat="1" ht="14.25" customHeight="1">
      <c r="A36" s="387" t="s">
        <v>142</v>
      </c>
      <c r="B36" s="505">
        <v>3942.05</v>
      </c>
      <c r="C36" s="505">
        <v>0</v>
      </c>
      <c r="D36" s="505">
        <v>0</v>
      </c>
      <c r="E36" s="505">
        <v>0</v>
      </c>
      <c r="F36" s="505">
        <v>0</v>
      </c>
      <c r="G36" s="505">
        <v>0</v>
      </c>
      <c r="H36" s="505">
        <v>0</v>
      </c>
      <c r="I36" s="505">
        <v>0</v>
      </c>
      <c r="J36" s="505">
        <v>0</v>
      </c>
      <c r="K36" s="505">
        <v>0</v>
      </c>
      <c r="L36" s="505">
        <v>0</v>
      </c>
      <c r="M36" s="505">
        <v>0</v>
      </c>
      <c r="N36" s="655">
        <f t="shared" si="4"/>
        <v>3942.05</v>
      </c>
      <c r="O36" s="491">
        <f>314336+384698+349337+N36</f>
        <v>1052313.05</v>
      </c>
      <c r="P36" s="498"/>
      <c r="Q36" s="499"/>
    </row>
    <row r="37" spans="1:17" s="280" customFormat="1" ht="13">
      <c r="A37" s="387" t="s">
        <v>143</v>
      </c>
      <c r="B37" s="506">
        <v>9283.14</v>
      </c>
      <c r="C37" s="506">
        <v>0</v>
      </c>
      <c r="D37" s="506">
        <v>0</v>
      </c>
      <c r="E37" s="506">
        <v>0</v>
      </c>
      <c r="F37" s="506">
        <v>0</v>
      </c>
      <c r="G37" s="506">
        <v>0</v>
      </c>
      <c r="H37" s="506">
        <v>0</v>
      </c>
      <c r="I37" s="506">
        <v>0</v>
      </c>
      <c r="J37" s="506">
        <v>0</v>
      </c>
      <c r="K37" s="506">
        <v>0</v>
      </c>
      <c r="L37" s="506">
        <v>0</v>
      </c>
      <c r="M37" s="506">
        <v>0</v>
      </c>
      <c r="N37" s="655">
        <f t="shared" si="4"/>
        <v>9283.14</v>
      </c>
      <c r="O37" s="507">
        <f>556529+695730+620743+N37</f>
        <v>1882285.14</v>
      </c>
      <c r="P37" s="498"/>
      <c r="Q37" s="499"/>
    </row>
    <row r="38" spans="1:17" s="280" customFormat="1" ht="15.5">
      <c r="A38" s="391" t="s">
        <v>144</v>
      </c>
      <c r="B38" s="508">
        <f t="shared" ref="B38:M38" si="5">SUM(B34:B37)</f>
        <v>14600.189999999999</v>
      </c>
      <c r="C38" s="509">
        <f t="shared" si="5"/>
        <v>0</v>
      </c>
      <c r="D38" s="509">
        <f>SUM(D34:D37)</f>
        <v>0</v>
      </c>
      <c r="E38" s="509">
        <f t="shared" si="5"/>
        <v>0</v>
      </c>
      <c r="F38" s="509">
        <f t="shared" si="5"/>
        <v>0</v>
      </c>
      <c r="G38" s="509">
        <f t="shared" si="5"/>
        <v>0</v>
      </c>
      <c r="H38" s="509">
        <f t="shared" si="5"/>
        <v>0</v>
      </c>
      <c r="I38" s="509">
        <f t="shared" si="5"/>
        <v>0</v>
      </c>
      <c r="J38" s="509">
        <f t="shared" si="5"/>
        <v>0</v>
      </c>
      <c r="K38" s="509">
        <f t="shared" si="5"/>
        <v>0</v>
      </c>
      <c r="L38" s="509">
        <f t="shared" si="5"/>
        <v>0</v>
      </c>
      <c r="M38" s="509">
        <f t="shared" si="5"/>
        <v>0</v>
      </c>
      <c r="N38" s="653">
        <f>SUM(N34:N37)</f>
        <v>14600.189999999999</v>
      </c>
      <c r="O38" s="494">
        <f>SUM(O34:O37)</f>
        <v>4338459.1899999995</v>
      </c>
      <c r="P38" s="496">
        <f>SUM(P34:P37)</f>
        <v>0</v>
      </c>
      <c r="Q38" s="510"/>
    </row>
    <row r="39" spans="1:17" s="280" customFormat="1" ht="13">
      <c r="B39" s="283"/>
      <c r="C39" s="283"/>
      <c r="D39" s="283"/>
      <c r="E39" s="283"/>
      <c r="F39" s="283"/>
      <c r="G39" s="283"/>
      <c r="H39" s="283"/>
      <c r="I39" s="283"/>
      <c r="J39" s="283"/>
      <c r="K39" s="283"/>
      <c r="L39" s="283"/>
      <c r="M39" s="283"/>
      <c r="O39" s="283"/>
      <c r="P39" s="283"/>
      <c r="Q39" s="283"/>
    </row>
    <row r="40" spans="1:17" s="280" customFormat="1" ht="14">
      <c r="A40" s="454" t="s">
        <v>63</v>
      </c>
      <c r="B40" s="287"/>
      <c r="C40" s="287"/>
      <c r="D40" s="287"/>
      <c r="E40" s="287"/>
      <c r="F40" s="287"/>
      <c r="G40" s="287"/>
      <c r="H40" s="287"/>
      <c r="I40" s="287"/>
      <c r="J40" s="287"/>
      <c r="K40" s="287"/>
      <c r="L40" s="287"/>
      <c r="M40" s="287"/>
      <c r="N40" s="286"/>
      <c r="O40" s="663"/>
      <c r="P40" s="287"/>
      <c r="Q40" s="287"/>
    </row>
    <row r="41" spans="1:17" s="600" customFormat="1" ht="16.5">
      <c r="A41" s="317" t="s">
        <v>295</v>
      </c>
      <c r="D41" s="601"/>
      <c r="E41" s="602"/>
      <c r="F41" s="601"/>
      <c r="N41" s="599"/>
    </row>
    <row r="42" spans="1:17" ht="16.5">
      <c r="A42" s="317" t="s">
        <v>299</v>
      </c>
      <c r="D42" s="264"/>
      <c r="E42" s="210"/>
      <c r="F42" s="264"/>
      <c r="N42" s="317"/>
    </row>
    <row r="43" spans="1:17" ht="14">
      <c r="A43" s="567"/>
      <c r="D43" s="264"/>
      <c r="E43" s="210"/>
      <c r="F43" s="264"/>
      <c r="N43" s="317"/>
    </row>
    <row r="44" spans="1:17" ht="16.5">
      <c r="A44" s="238" t="s">
        <v>65</v>
      </c>
      <c r="D44" s="264"/>
      <c r="E44" s="210"/>
      <c r="F44" s="264"/>
      <c r="N44" s="328"/>
    </row>
    <row r="45" spans="1:17">
      <c r="E45" s="269"/>
      <c r="F45" s="264"/>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7"/>
  <sheetViews>
    <sheetView showGridLines="0" zoomScaleNormal="100" zoomScaleSheetLayoutView="80" workbookViewId="0">
      <pane xSplit="1" ySplit="9" topLeftCell="B10" activePane="bottomRight" state="frozen"/>
      <selection activeCell="A52" sqref="A52:O52"/>
      <selection pane="topRight" activeCell="A52" sqref="A52:O52"/>
      <selection pane="bottomLeft" activeCell="A52" sqref="A52:O52"/>
      <selection pane="bottomRight" activeCell="A53" sqref="A53"/>
    </sheetView>
  </sheetViews>
  <sheetFormatPr defaultColWidth="9.26953125" defaultRowHeight="12.5"/>
  <cols>
    <col min="1" max="1" width="95.2695312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3.26953125" style="130" bestFit="1" customWidth="1"/>
    <col min="15" max="15" width="16" style="603" customWidth="1"/>
    <col min="16" max="16" width="17.26953125" style="130" customWidth="1"/>
    <col min="17" max="17" width="14.7265625" style="130" customWidth="1"/>
    <col min="18" max="18" width="13.453125" style="130" bestFit="1" customWidth="1"/>
    <col min="19" max="16384" width="9.26953125" style="130"/>
  </cols>
  <sheetData>
    <row r="2" spans="1:18" ht="13">
      <c r="A2" s="129"/>
      <c r="G2" s="148" t="s">
        <v>145</v>
      </c>
    </row>
    <row r="3" spans="1:18" ht="13">
      <c r="A3" s="129"/>
      <c r="G3" s="148" t="s">
        <v>146</v>
      </c>
    </row>
    <row r="4" spans="1:18" ht="13">
      <c r="A4" s="129"/>
      <c r="F4" s="197"/>
      <c r="G4" s="198" t="str">
        <f>'Program MW '!H3</f>
        <v>January 2021</v>
      </c>
      <c r="H4" s="197"/>
      <c r="I4" s="197"/>
    </row>
    <row r="5" spans="1:18" ht="13">
      <c r="A5" s="129"/>
      <c r="B5" s="197"/>
      <c r="C5" s="197"/>
      <c r="D5" s="197"/>
    </row>
    <row r="6" spans="1:18" ht="13" thickBot="1"/>
    <row r="7" spans="1:18" ht="13">
      <c r="A7" s="299"/>
      <c r="B7" s="131"/>
      <c r="C7" s="131"/>
      <c r="D7" s="131"/>
      <c r="E7" s="131"/>
      <c r="F7" s="131"/>
      <c r="G7" s="131"/>
      <c r="H7" s="131"/>
      <c r="I7" s="131"/>
      <c r="J7" s="131"/>
      <c r="K7" s="131"/>
      <c r="L7" s="131"/>
      <c r="M7" s="132"/>
      <c r="N7" s="132"/>
      <c r="O7" s="604"/>
      <c r="P7" s="133"/>
      <c r="Q7" s="133"/>
      <c r="R7" s="293"/>
    </row>
    <row r="8" spans="1:18" ht="9" customHeight="1">
      <c r="A8" s="300"/>
      <c r="B8" s="134"/>
      <c r="C8" s="134"/>
      <c r="D8" s="134"/>
      <c r="E8" s="134"/>
      <c r="F8" s="134"/>
      <c r="G8" s="134"/>
      <c r="H8" s="134"/>
      <c r="I8" s="134"/>
      <c r="J8" s="134"/>
      <c r="K8" s="134"/>
      <c r="L8" s="134"/>
      <c r="M8" s="135"/>
      <c r="N8" s="135"/>
      <c r="O8" s="605"/>
      <c r="P8" s="136"/>
      <c r="Q8" s="136"/>
      <c r="R8" s="294"/>
    </row>
    <row r="9" spans="1:18" ht="57.75" customHeight="1">
      <c r="A9" s="367" t="s">
        <v>147</v>
      </c>
      <c r="B9" s="379" t="s">
        <v>41</v>
      </c>
      <c r="C9" s="262" t="s">
        <v>42</v>
      </c>
      <c r="D9" s="262" t="s">
        <v>43</v>
      </c>
      <c r="E9" s="262" t="s">
        <v>44</v>
      </c>
      <c r="F9" s="262" t="s">
        <v>31</v>
      </c>
      <c r="G9" s="262" t="s">
        <v>45</v>
      </c>
      <c r="H9" s="262" t="s">
        <v>59</v>
      </c>
      <c r="I9" s="263" t="s">
        <v>60</v>
      </c>
      <c r="J9" s="263" t="s">
        <v>68</v>
      </c>
      <c r="K9" s="262" t="s">
        <v>61</v>
      </c>
      <c r="L9" s="262" t="s">
        <v>69</v>
      </c>
      <c r="M9" s="262" t="s">
        <v>62</v>
      </c>
      <c r="N9" s="137" t="s">
        <v>250</v>
      </c>
      <c r="O9" s="606" t="s">
        <v>251</v>
      </c>
      <c r="P9" s="137" t="s">
        <v>148</v>
      </c>
      <c r="Q9" s="137" t="s">
        <v>149</v>
      </c>
      <c r="R9" s="137" t="s">
        <v>150</v>
      </c>
    </row>
    <row r="10" spans="1:18" ht="13">
      <c r="A10" s="301" t="s">
        <v>151</v>
      </c>
      <c r="B10" s="380"/>
      <c r="C10" s="15"/>
      <c r="D10" s="15"/>
      <c r="E10" s="15"/>
      <c r="F10" s="138"/>
      <c r="G10" s="259"/>
      <c r="H10" s="138"/>
      <c r="I10" s="138"/>
      <c r="J10" s="138"/>
      <c r="K10" s="138"/>
      <c r="L10" s="138"/>
      <c r="M10" s="640"/>
      <c r="N10" s="643"/>
      <c r="O10" s="607" t="s">
        <v>56</v>
      </c>
      <c r="P10" s="315"/>
      <c r="Q10" s="139"/>
      <c r="R10" s="139"/>
    </row>
    <row r="11" spans="1:18">
      <c r="A11" s="302" t="s">
        <v>152</v>
      </c>
      <c r="B11" s="516">
        <v>130414</v>
      </c>
      <c r="C11" s="516">
        <v>0</v>
      </c>
      <c r="D11" s="516">
        <v>0</v>
      </c>
      <c r="E11" s="516">
        <v>0</v>
      </c>
      <c r="F11" s="516">
        <v>0</v>
      </c>
      <c r="G11" s="516">
        <v>0</v>
      </c>
      <c r="H11" s="516">
        <v>0</v>
      </c>
      <c r="I11" s="516">
        <v>0</v>
      </c>
      <c r="J11" s="516">
        <v>0</v>
      </c>
      <c r="K11" s="516">
        <v>0</v>
      </c>
      <c r="L11" s="516">
        <v>0</v>
      </c>
      <c r="M11" s="516">
        <v>0</v>
      </c>
      <c r="N11" s="519">
        <f>SUM(B11:M11)</f>
        <v>130414</v>
      </c>
      <c r="O11" s="642">
        <f>911161+N11</f>
        <v>1041575</v>
      </c>
      <c r="P11" s="518">
        <v>2869200</v>
      </c>
      <c r="Q11" s="519">
        <v>0</v>
      </c>
      <c r="R11" s="644">
        <f>+O11/P11</f>
        <v>0.36301930851805381</v>
      </c>
    </row>
    <row r="12" spans="1:18">
      <c r="A12" s="302" t="s">
        <v>153</v>
      </c>
      <c r="B12" s="516">
        <v>44397</v>
      </c>
      <c r="C12" s="516">
        <v>0</v>
      </c>
      <c r="D12" s="516">
        <v>0</v>
      </c>
      <c r="E12" s="516">
        <v>0</v>
      </c>
      <c r="F12" s="516">
        <v>0</v>
      </c>
      <c r="G12" s="516">
        <v>0</v>
      </c>
      <c r="H12" s="516">
        <v>0</v>
      </c>
      <c r="I12" s="516">
        <v>0</v>
      </c>
      <c r="J12" s="516">
        <v>0</v>
      </c>
      <c r="K12" s="516">
        <v>0</v>
      </c>
      <c r="L12" s="516">
        <v>0</v>
      </c>
      <c r="M12" s="516">
        <v>0</v>
      </c>
      <c r="N12" s="519">
        <f t="shared" ref="N12:N15" si="0">SUM(B12:M12)</f>
        <v>44397</v>
      </c>
      <c r="O12" s="642">
        <f>4136392+N12</f>
        <v>4180789</v>
      </c>
      <c r="P12" s="518">
        <v>9020700</v>
      </c>
      <c r="Q12" s="519">
        <v>0</v>
      </c>
      <c r="R12" s="644">
        <f t="shared" ref="R12:R15" si="1">+O12/P12</f>
        <v>0.4634661389914308</v>
      </c>
    </row>
    <row r="13" spans="1:18">
      <c r="A13" s="302" t="s">
        <v>154</v>
      </c>
      <c r="B13" s="516">
        <v>23503</v>
      </c>
      <c r="C13" s="516">
        <v>0</v>
      </c>
      <c r="D13" s="516">
        <v>0</v>
      </c>
      <c r="E13" s="516">
        <v>0</v>
      </c>
      <c r="F13" s="516">
        <v>0</v>
      </c>
      <c r="G13" s="516">
        <v>0</v>
      </c>
      <c r="H13" s="516">
        <v>0</v>
      </c>
      <c r="I13" s="516">
        <v>0</v>
      </c>
      <c r="J13" s="516">
        <v>0</v>
      </c>
      <c r="K13" s="516">
        <v>0</v>
      </c>
      <c r="L13" s="516">
        <v>0</v>
      </c>
      <c r="M13" s="516">
        <v>0</v>
      </c>
      <c r="N13" s="519">
        <f t="shared" si="0"/>
        <v>23503</v>
      </c>
      <c r="O13" s="642">
        <f>534815+N13</f>
        <v>558318</v>
      </c>
      <c r="P13" s="518">
        <v>4664400</v>
      </c>
      <c r="Q13" s="519">
        <v>0</v>
      </c>
      <c r="R13" s="644">
        <f t="shared" si="1"/>
        <v>0.11969771031643942</v>
      </c>
    </row>
    <row r="14" spans="1:18">
      <c r="A14" s="302" t="s">
        <v>200</v>
      </c>
      <c r="B14" s="516">
        <v>6528</v>
      </c>
      <c r="C14" s="516">
        <v>0</v>
      </c>
      <c r="D14" s="516">
        <v>0</v>
      </c>
      <c r="E14" s="516">
        <v>0</v>
      </c>
      <c r="F14" s="516">
        <v>0</v>
      </c>
      <c r="G14" s="516">
        <v>0</v>
      </c>
      <c r="H14" s="516">
        <v>0</v>
      </c>
      <c r="I14" s="516">
        <v>0</v>
      </c>
      <c r="J14" s="516">
        <v>0</v>
      </c>
      <c r="K14" s="516">
        <v>0</v>
      </c>
      <c r="L14" s="516">
        <v>0</v>
      </c>
      <c r="M14" s="516">
        <v>0</v>
      </c>
      <c r="N14" s="519">
        <f t="shared" si="0"/>
        <v>6528</v>
      </c>
      <c r="O14" s="642">
        <f>928210+N14</f>
        <v>934738</v>
      </c>
      <c r="P14" s="519">
        <v>10301202</v>
      </c>
      <c r="Q14" s="519">
        <v>0</v>
      </c>
      <c r="R14" s="644">
        <f t="shared" si="1"/>
        <v>9.0740672787505763E-2</v>
      </c>
    </row>
    <row r="15" spans="1:18" ht="14.5">
      <c r="A15" s="303" t="s">
        <v>155</v>
      </c>
      <c r="B15" s="520">
        <v>0</v>
      </c>
      <c r="C15" s="520">
        <v>0</v>
      </c>
      <c r="D15" s="520">
        <v>0</v>
      </c>
      <c r="E15" s="520">
        <v>0</v>
      </c>
      <c r="F15" s="520">
        <v>0</v>
      </c>
      <c r="G15" s="520">
        <v>0</v>
      </c>
      <c r="H15" s="520">
        <v>0</v>
      </c>
      <c r="I15" s="520">
        <v>0</v>
      </c>
      <c r="J15" s="520">
        <v>0</v>
      </c>
      <c r="K15" s="520">
        <v>0</v>
      </c>
      <c r="L15" s="520">
        <v>0</v>
      </c>
      <c r="M15" s="520">
        <v>0</v>
      </c>
      <c r="N15" s="519">
        <f t="shared" si="0"/>
        <v>0</v>
      </c>
      <c r="O15" s="642">
        <f>15326+N15</f>
        <v>15326</v>
      </c>
      <c r="P15" s="518">
        <v>20000</v>
      </c>
      <c r="Q15" s="519">
        <v>0</v>
      </c>
      <c r="R15" s="644">
        <f t="shared" si="1"/>
        <v>0.76629999999999998</v>
      </c>
    </row>
    <row r="16" spans="1:18" ht="13">
      <c r="A16" s="304" t="s">
        <v>156</v>
      </c>
      <c r="B16" s="522">
        <f>SUM(B11:B15)</f>
        <v>204842</v>
      </c>
      <c r="C16" s="523">
        <f t="shared" ref="C16:M16" si="2">SUM(C11:C15)</f>
        <v>0</v>
      </c>
      <c r="D16" s="523">
        <f t="shared" si="2"/>
        <v>0</v>
      </c>
      <c r="E16" s="523">
        <f t="shared" si="2"/>
        <v>0</v>
      </c>
      <c r="F16" s="523">
        <f t="shared" si="2"/>
        <v>0</v>
      </c>
      <c r="G16" s="523">
        <f t="shared" si="2"/>
        <v>0</v>
      </c>
      <c r="H16" s="523">
        <f t="shared" si="2"/>
        <v>0</v>
      </c>
      <c r="I16" s="523">
        <f t="shared" si="2"/>
        <v>0</v>
      </c>
      <c r="J16" s="523">
        <f t="shared" si="2"/>
        <v>0</v>
      </c>
      <c r="K16" s="523">
        <f>SUM(K11:K15)</f>
        <v>0</v>
      </c>
      <c r="L16" s="523">
        <f t="shared" si="2"/>
        <v>0</v>
      </c>
      <c r="M16" s="523">
        <f t="shared" si="2"/>
        <v>0</v>
      </c>
      <c r="N16" s="645">
        <f>SUM(N11:N15)</f>
        <v>204842</v>
      </c>
      <c r="O16" s="608">
        <f>SUM(O11:O15)</f>
        <v>6730746</v>
      </c>
      <c r="P16" s="525">
        <f>SUM(P11:P15)</f>
        <v>26875502</v>
      </c>
      <c r="Q16" s="526">
        <f>SUM(Q11:Q15)</f>
        <v>0</v>
      </c>
      <c r="R16" s="646">
        <f>O16/P16</f>
        <v>0.25044168477299511</v>
      </c>
    </row>
    <row r="17" spans="1:18">
      <c r="A17" s="303"/>
      <c r="B17" s="516"/>
      <c r="C17" s="517"/>
      <c r="D17" s="517"/>
      <c r="E17" s="517"/>
      <c r="F17" s="527"/>
      <c r="G17" s="528"/>
      <c r="H17" s="527"/>
      <c r="I17" s="527"/>
      <c r="J17" s="527"/>
      <c r="K17" s="527"/>
      <c r="L17" s="527"/>
      <c r="M17" s="527"/>
      <c r="N17" s="529"/>
      <c r="O17" s="609"/>
      <c r="P17" s="518"/>
      <c r="Q17" s="519"/>
      <c r="R17" s="644"/>
    </row>
    <row r="18" spans="1:18" ht="13">
      <c r="A18" s="301" t="s">
        <v>157</v>
      </c>
      <c r="B18" s="516"/>
      <c r="C18" s="517"/>
      <c r="D18" s="517"/>
      <c r="E18" s="517"/>
      <c r="F18" s="527"/>
      <c r="G18" s="528"/>
      <c r="H18" s="527"/>
      <c r="I18" s="527"/>
      <c r="J18" s="527"/>
      <c r="K18" s="527"/>
      <c r="L18" s="527"/>
      <c r="M18" s="527"/>
      <c r="N18" s="529"/>
      <c r="O18" s="609"/>
      <c r="P18" s="518"/>
      <c r="Q18" s="519"/>
      <c r="R18" s="644"/>
    </row>
    <row r="19" spans="1:18">
      <c r="A19" s="302"/>
      <c r="B19" s="516">
        <v>0</v>
      </c>
      <c r="C19" s="517">
        <v>0</v>
      </c>
      <c r="D19" s="517">
        <v>0</v>
      </c>
      <c r="E19" s="517">
        <v>0</v>
      </c>
      <c r="F19" s="517">
        <v>0</v>
      </c>
      <c r="G19" s="517">
        <v>0</v>
      </c>
      <c r="H19" s="517">
        <v>0</v>
      </c>
      <c r="I19" s="517">
        <v>0</v>
      </c>
      <c r="J19" s="517">
        <v>0</v>
      </c>
      <c r="K19" s="517">
        <v>0</v>
      </c>
      <c r="L19" s="517">
        <v>0</v>
      </c>
      <c r="M19" s="517">
        <v>0</v>
      </c>
      <c r="N19" s="529">
        <f>SUM(B19:M19)</f>
        <v>0</v>
      </c>
      <c r="O19" s="642">
        <f>0+N19</f>
        <v>0</v>
      </c>
      <c r="P19" s="530">
        <v>0</v>
      </c>
      <c r="Q19" s="529">
        <v>0</v>
      </c>
      <c r="R19" s="644">
        <v>0</v>
      </c>
    </row>
    <row r="20" spans="1:18" ht="13">
      <c r="A20" s="304" t="s">
        <v>158</v>
      </c>
      <c r="B20" s="531">
        <f t="shared" ref="B20:M20" si="3">SUM(B19:B19)</f>
        <v>0</v>
      </c>
      <c r="C20" s="524">
        <f t="shared" si="3"/>
        <v>0</v>
      </c>
      <c r="D20" s="524">
        <f t="shared" si="3"/>
        <v>0</v>
      </c>
      <c r="E20" s="524">
        <f t="shared" si="3"/>
        <v>0</v>
      </c>
      <c r="F20" s="524">
        <f t="shared" si="3"/>
        <v>0</v>
      </c>
      <c r="G20" s="532">
        <f t="shared" si="3"/>
        <v>0</v>
      </c>
      <c r="H20" s="524">
        <f t="shared" si="3"/>
        <v>0</v>
      </c>
      <c r="I20" s="524">
        <f t="shared" si="3"/>
        <v>0</v>
      </c>
      <c r="J20" s="524">
        <f t="shared" si="3"/>
        <v>0</v>
      </c>
      <c r="K20" s="524">
        <f t="shared" si="3"/>
        <v>0</v>
      </c>
      <c r="L20" s="524">
        <f t="shared" si="3"/>
        <v>0</v>
      </c>
      <c r="M20" s="524">
        <f t="shared" si="3"/>
        <v>0</v>
      </c>
      <c r="N20" s="526">
        <f>SUM(N19:N19)</f>
        <v>0</v>
      </c>
      <c r="O20" s="610">
        <f>SUM(O19:O19)</f>
        <v>0</v>
      </c>
      <c r="P20" s="525">
        <f>SUM(P19:P19)</f>
        <v>0</v>
      </c>
      <c r="Q20" s="526">
        <f>SUM(Q19:Q19)</f>
        <v>0</v>
      </c>
      <c r="R20" s="647">
        <v>0</v>
      </c>
    </row>
    <row r="21" spans="1:18" ht="13">
      <c r="A21" s="305"/>
      <c r="B21" s="516"/>
      <c r="C21" s="517"/>
      <c r="D21" s="517"/>
      <c r="E21" s="517"/>
      <c r="F21" s="517"/>
      <c r="G21" s="528"/>
      <c r="H21" s="517"/>
      <c r="I21" s="517"/>
      <c r="J21" s="517"/>
      <c r="K21" s="517"/>
      <c r="L21" s="517"/>
      <c r="M21" s="517"/>
      <c r="N21" s="529"/>
      <c r="O21" s="609"/>
      <c r="P21" s="530"/>
      <c r="Q21" s="529"/>
      <c r="R21" s="648"/>
    </row>
    <row r="22" spans="1:18" ht="13">
      <c r="A22" s="301" t="s">
        <v>159</v>
      </c>
      <c r="B22" s="516"/>
      <c r="C22" s="517"/>
      <c r="D22" s="517"/>
      <c r="E22" s="517"/>
      <c r="F22" s="527"/>
      <c r="G22" s="528"/>
      <c r="H22" s="527"/>
      <c r="I22" s="527"/>
      <c r="J22" s="527"/>
      <c r="K22" s="527"/>
      <c r="L22" s="527"/>
      <c r="M22" s="527"/>
      <c r="N22" s="529"/>
      <c r="O22" s="609"/>
      <c r="P22" s="518"/>
      <c r="Q22" s="519"/>
      <c r="R22" s="644"/>
    </row>
    <row r="23" spans="1:18">
      <c r="A23" s="302" t="s">
        <v>279</v>
      </c>
      <c r="B23" s="520">
        <v>96846</v>
      </c>
      <c r="C23" s="520">
        <v>0</v>
      </c>
      <c r="D23" s="520">
        <v>0</v>
      </c>
      <c r="E23" s="520">
        <v>0</v>
      </c>
      <c r="F23" s="520">
        <v>0</v>
      </c>
      <c r="G23" s="520">
        <v>0</v>
      </c>
      <c r="H23" s="520">
        <v>0</v>
      </c>
      <c r="I23" s="520">
        <v>0</v>
      </c>
      <c r="J23" s="520">
        <v>0</v>
      </c>
      <c r="K23" s="520">
        <v>0</v>
      </c>
      <c r="L23" s="520">
        <v>0</v>
      </c>
      <c r="M23" s="520">
        <v>0</v>
      </c>
      <c r="N23" s="529">
        <f>SUM(B23:M23)</f>
        <v>96846</v>
      </c>
      <c r="O23" s="642">
        <f>3846745+N23</f>
        <v>3943591</v>
      </c>
      <c r="P23" s="530">
        <v>8320000</v>
      </c>
      <c r="Q23" s="529">
        <v>0</v>
      </c>
      <c r="R23" s="644">
        <f t="shared" ref="R23" si="4">+O23/P23</f>
        <v>0.47398930288461538</v>
      </c>
    </row>
    <row r="24" spans="1:18" ht="13">
      <c r="A24" s="304" t="s">
        <v>160</v>
      </c>
      <c r="B24" s="520">
        <f t="shared" ref="B24:M24" si="5">SUM(B23:B23)</f>
        <v>96846</v>
      </c>
      <c r="C24" s="523">
        <f t="shared" si="5"/>
        <v>0</v>
      </c>
      <c r="D24" s="523">
        <f t="shared" si="5"/>
        <v>0</v>
      </c>
      <c r="E24" s="523">
        <f t="shared" si="5"/>
        <v>0</v>
      </c>
      <c r="F24" s="523">
        <f t="shared" si="5"/>
        <v>0</v>
      </c>
      <c r="G24" s="521">
        <f t="shared" si="5"/>
        <v>0</v>
      </c>
      <c r="H24" s="523">
        <f t="shared" si="5"/>
        <v>0</v>
      </c>
      <c r="I24" s="523">
        <f t="shared" si="5"/>
        <v>0</v>
      </c>
      <c r="J24" s="523">
        <f t="shared" si="5"/>
        <v>0</v>
      </c>
      <c r="K24" s="523">
        <f t="shared" si="5"/>
        <v>0</v>
      </c>
      <c r="L24" s="523">
        <f t="shared" si="5"/>
        <v>0</v>
      </c>
      <c r="M24" s="523">
        <f t="shared" si="5"/>
        <v>0</v>
      </c>
      <c r="N24" s="526">
        <f>SUM(N23:N23)</f>
        <v>96846</v>
      </c>
      <c r="O24" s="610">
        <f>O23</f>
        <v>3943591</v>
      </c>
      <c r="P24" s="525">
        <f>SUM(P23:P23)</f>
        <v>8320000</v>
      </c>
      <c r="Q24" s="526">
        <f>SUM(Q23:Q23)</f>
        <v>0</v>
      </c>
      <c r="R24" s="647">
        <f>O24/P24</f>
        <v>0.47398930288461538</v>
      </c>
    </row>
    <row r="25" spans="1:18" ht="13">
      <c r="A25" s="301"/>
      <c r="B25" s="516"/>
      <c r="C25" s="517"/>
      <c r="D25" s="517"/>
      <c r="E25" s="517"/>
      <c r="F25" s="527"/>
      <c r="G25" s="528"/>
      <c r="H25" s="527"/>
      <c r="I25" s="527"/>
      <c r="J25" s="527"/>
      <c r="K25" s="527"/>
      <c r="L25" s="527"/>
      <c r="M25" s="527"/>
      <c r="N25" s="529"/>
      <c r="O25" s="609"/>
      <c r="P25" s="518"/>
      <c r="Q25" s="519"/>
      <c r="R25" s="644"/>
    </row>
    <row r="26" spans="1:18" ht="13">
      <c r="A26" s="301" t="s">
        <v>161</v>
      </c>
      <c r="B26" s="516"/>
      <c r="C26" s="517"/>
      <c r="D26" s="517"/>
      <c r="E26" s="517"/>
      <c r="F26" s="527"/>
      <c r="G26" s="528"/>
      <c r="H26" s="527"/>
      <c r="I26" s="527"/>
      <c r="J26" s="527"/>
      <c r="K26" s="527"/>
      <c r="L26" s="527"/>
      <c r="M26" s="527"/>
      <c r="N26" s="529"/>
      <c r="O26" s="609"/>
      <c r="P26" s="518"/>
      <c r="Q26" s="519"/>
      <c r="R26" s="644"/>
    </row>
    <row r="27" spans="1:18">
      <c r="A27" s="302" t="s">
        <v>162</v>
      </c>
      <c r="B27" s="533">
        <v>22999</v>
      </c>
      <c r="C27" s="533">
        <v>0</v>
      </c>
      <c r="D27" s="533">
        <v>0</v>
      </c>
      <c r="E27" s="533">
        <v>0</v>
      </c>
      <c r="F27" s="533">
        <v>0</v>
      </c>
      <c r="G27" s="533">
        <v>0</v>
      </c>
      <c r="H27" s="533">
        <v>0</v>
      </c>
      <c r="I27" s="533">
        <v>0</v>
      </c>
      <c r="J27" s="533">
        <v>0</v>
      </c>
      <c r="K27" s="533">
        <v>0</v>
      </c>
      <c r="L27" s="533">
        <v>0</v>
      </c>
      <c r="M27" s="533">
        <v>0</v>
      </c>
      <c r="N27" s="529">
        <f>SUM(B27:M27)</f>
        <v>22999</v>
      </c>
      <c r="O27" s="642">
        <f>1326267+N27</f>
        <v>1349266</v>
      </c>
      <c r="P27" s="530">
        <v>3483000</v>
      </c>
      <c r="Q27" s="529">
        <v>0</v>
      </c>
      <c r="R27" s="644">
        <f t="shared" ref="R27:R29" si="6">+O27/P27</f>
        <v>0.38738616135515358</v>
      </c>
    </row>
    <row r="28" spans="1:18">
      <c r="A28" s="302" t="s">
        <v>163</v>
      </c>
      <c r="B28" s="516">
        <v>29511</v>
      </c>
      <c r="C28" s="516">
        <v>0</v>
      </c>
      <c r="D28" s="516">
        <v>0</v>
      </c>
      <c r="E28" s="516">
        <v>0</v>
      </c>
      <c r="F28" s="516">
        <v>0</v>
      </c>
      <c r="G28" s="516">
        <v>0</v>
      </c>
      <c r="H28" s="516">
        <v>0</v>
      </c>
      <c r="I28" s="516">
        <v>0</v>
      </c>
      <c r="J28" s="516">
        <v>0</v>
      </c>
      <c r="K28" s="516">
        <v>0</v>
      </c>
      <c r="L28" s="516">
        <v>0</v>
      </c>
      <c r="M28" s="516">
        <v>0</v>
      </c>
      <c r="N28" s="529">
        <f>SUM(B28:M28)</f>
        <v>29511</v>
      </c>
      <c r="O28" s="642">
        <f>1608647+N28</f>
        <v>1638158</v>
      </c>
      <c r="P28" s="530">
        <v>3794000</v>
      </c>
      <c r="Q28" s="529">
        <v>0</v>
      </c>
      <c r="R28" s="644">
        <f t="shared" si="6"/>
        <v>0.43177596204533475</v>
      </c>
    </row>
    <row r="29" spans="1:18">
      <c r="A29" s="306" t="s">
        <v>164</v>
      </c>
      <c r="B29" s="520">
        <v>7417</v>
      </c>
      <c r="C29" s="520">
        <v>0</v>
      </c>
      <c r="D29" s="520">
        <v>0</v>
      </c>
      <c r="E29" s="520">
        <v>0</v>
      </c>
      <c r="F29" s="520">
        <v>0</v>
      </c>
      <c r="G29" s="520">
        <v>0</v>
      </c>
      <c r="H29" s="520">
        <v>0</v>
      </c>
      <c r="I29" s="520">
        <v>0</v>
      </c>
      <c r="J29" s="520">
        <v>0</v>
      </c>
      <c r="K29" s="520">
        <v>0</v>
      </c>
      <c r="L29" s="520">
        <v>0</v>
      </c>
      <c r="M29" s="520">
        <v>0</v>
      </c>
      <c r="N29" s="529">
        <f>SUM(B29:M29)</f>
        <v>7417</v>
      </c>
      <c r="O29" s="642">
        <f>968425+N29</f>
        <v>975842</v>
      </c>
      <c r="P29" s="529">
        <v>11267000</v>
      </c>
      <c r="Q29" s="529">
        <v>0</v>
      </c>
      <c r="R29" s="644">
        <f t="shared" si="6"/>
        <v>8.6610632821514155E-2</v>
      </c>
    </row>
    <row r="30" spans="1:18" ht="13">
      <c r="A30" s="304" t="s">
        <v>165</v>
      </c>
      <c r="B30" s="520">
        <f t="shared" ref="B30:I30" si="7">SUM(B27:B29)</f>
        <v>59927</v>
      </c>
      <c r="C30" s="523">
        <f t="shared" si="7"/>
        <v>0</v>
      </c>
      <c r="D30" s="523">
        <f t="shared" si="7"/>
        <v>0</v>
      </c>
      <c r="E30" s="523">
        <f>SUM(E27:E29)</f>
        <v>0</v>
      </c>
      <c r="F30" s="534">
        <f t="shared" si="7"/>
        <v>0</v>
      </c>
      <c r="G30" s="521">
        <f t="shared" si="7"/>
        <v>0</v>
      </c>
      <c r="H30" s="534">
        <f t="shared" si="7"/>
        <v>0</v>
      </c>
      <c r="I30" s="534">
        <f t="shared" si="7"/>
        <v>0</v>
      </c>
      <c r="J30" s="534">
        <f>SUM(J27:J29)</f>
        <v>0</v>
      </c>
      <c r="K30" s="534">
        <f>SUM(K27:K29)</f>
        <v>0</v>
      </c>
      <c r="L30" s="534">
        <f>SUM(L27:L29)</f>
        <v>0</v>
      </c>
      <c r="M30" s="534">
        <f t="shared" ref="M30:Q30" si="8">SUM(M27:M29)</f>
        <v>0</v>
      </c>
      <c r="N30" s="526">
        <f t="shared" si="8"/>
        <v>59927</v>
      </c>
      <c r="O30" s="610">
        <f t="shared" si="8"/>
        <v>3963266</v>
      </c>
      <c r="P30" s="525">
        <f>SUM(P27:P29)</f>
        <v>18544000</v>
      </c>
      <c r="Q30" s="526">
        <f t="shared" si="8"/>
        <v>0</v>
      </c>
      <c r="R30" s="647">
        <f>O30/P30</f>
        <v>0.21372228213977568</v>
      </c>
    </row>
    <row r="31" spans="1:18">
      <c r="A31" s="302"/>
      <c r="B31" s="516"/>
      <c r="C31" s="517"/>
      <c r="D31" s="517"/>
      <c r="E31" s="517"/>
      <c r="F31" s="527"/>
      <c r="G31" s="528"/>
      <c r="H31" s="527"/>
      <c r="I31" s="527"/>
      <c r="J31" s="527"/>
      <c r="K31" s="527"/>
      <c r="L31" s="527"/>
      <c r="M31" s="527"/>
      <c r="N31" s="529"/>
      <c r="O31" s="609"/>
      <c r="P31" s="530"/>
      <c r="Q31" s="529"/>
      <c r="R31" s="644"/>
    </row>
    <row r="32" spans="1:18" ht="13">
      <c r="A32" s="301" t="s">
        <v>166</v>
      </c>
      <c r="B32" s="516"/>
      <c r="C32" s="517"/>
      <c r="D32" s="517"/>
      <c r="E32" s="517"/>
      <c r="F32" s="527"/>
      <c r="G32" s="528"/>
      <c r="H32" s="527"/>
      <c r="I32" s="527"/>
      <c r="J32" s="527"/>
      <c r="K32" s="527"/>
      <c r="L32" s="527"/>
      <c r="M32" s="527"/>
      <c r="N32" s="529"/>
      <c r="O32" s="609"/>
      <c r="P32" s="530"/>
      <c r="Q32" s="529"/>
      <c r="R32" s="644"/>
    </row>
    <row r="33" spans="1:18">
      <c r="A33" s="302" t="s">
        <v>167</v>
      </c>
      <c r="B33" s="533">
        <v>0</v>
      </c>
      <c r="C33" s="533">
        <v>0</v>
      </c>
      <c r="D33" s="533">
        <v>0</v>
      </c>
      <c r="E33" s="533">
        <v>0</v>
      </c>
      <c r="F33" s="533">
        <v>0</v>
      </c>
      <c r="G33" s="533">
        <v>0</v>
      </c>
      <c r="H33" s="533">
        <v>0</v>
      </c>
      <c r="I33" s="533">
        <v>0</v>
      </c>
      <c r="J33" s="533">
        <v>0</v>
      </c>
      <c r="K33" s="533">
        <v>0</v>
      </c>
      <c r="L33" s="533">
        <v>0</v>
      </c>
      <c r="M33" s="533">
        <v>0</v>
      </c>
      <c r="N33" s="529">
        <f>SUM(B33:M33)</f>
        <v>0</v>
      </c>
      <c r="O33" s="642">
        <f>8111.66+N33</f>
        <v>8111.66</v>
      </c>
      <c r="P33" s="530">
        <v>2507000</v>
      </c>
      <c r="Q33" s="529">
        <v>0</v>
      </c>
      <c r="R33" s="644">
        <f t="shared" ref="R33:R36" si="9">+O33/P33</f>
        <v>3.2356043079377742E-3</v>
      </c>
    </row>
    <row r="34" spans="1:18">
      <c r="A34" s="302" t="s">
        <v>168</v>
      </c>
      <c r="B34" s="516">
        <v>111344</v>
      </c>
      <c r="C34" s="516">
        <v>0</v>
      </c>
      <c r="D34" s="516">
        <v>0</v>
      </c>
      <c r="E34" s="516">
        <v>0</v>
      </c>
      <c r="F34" s="516">
        <v>0</v>
      </c>
      <c r="G34" s="516">
        <v>0</v>
      </c>
      <c r="H34" s="516">
        <v>0</v>
      </c>
      <c r="I34" s="516">
        <v>0</v>
      </c>
      <c r="J34" s="516">
        <v>0</v>
      </c>
      <c r="K34" s="516">
        <v>0</v>
      </c>
      <c r="L34" s="516">
        <v>0</v>
      </c>
      <c r="M34" s="516">
        <v>0</v>
      </c>
      <c r="N34" s="529">
        <f>SUM(B34:M34)</f>
        <v>111344</v>
      </c>
      <c r="O34" s="642">
        <f>63741+N34</f>
        <v>175085</v>
      </c>
      <c r="P34" s="529">
        <v>500000</v>
      </c>
      <c r="Q34" s="529">
        <v>0</v>
      </c>
      <c r="R34" s="644">
        <f t="shared" si="9"/>
        <v>0.35016999999999998</v>
      </c>
    </row>
    <row r="35" spans="1:18">
      <c r="A35" s="318" t="s">
        <v>169</v>
      </c>
      <c r="B35" s="516">
        <v>1681</v>
      </c>
      <c r="C35" s="516">
        <v>0</v>
      </c>
      <c r="D35" s="516">
        <v>0</v>
      </c>
      <c r="E35" s="516">
        <v>0</v>
      </c>
      <c r="F35" s="516">
        <v>0</v>
      </c>
      <c r="G35" s="516">
        <v>0</v>
      </c>
      <c r="H35" s="516">
        <v>0</v>
      </c>
      <c r="I35" s="516">
        <v>0</v>
      </c>
      <c r="J35" s="516">
        <v>0</v>
      </c>
      <c r="K35" s="516">
        <v>0</v>
      </c>
      <c r="L35" s="516">
        <v>0</v>
      </c>
      <c r="M35" s="516">
        <v>0</v>
      </c>
      <c r="N35" s="529">
        <f>SUM(B35:M35)</f>
        <v>1681</v>
      </c>
      <c r="O35" s="642">
        <f>615021+N35</f>
        <v>616702</v>
      </c>
      <c r="P35" s="530">
        <v>2148000</v>
      </c>
      <c r="Q35" s="529">
        <v>0</v>
      </c>
      <c r="R35" s="644">
        <f t="shared" si="9"/>
        <v>0.28710521415270018</v>
      </c>
    </row>
    <row r="36" spans="1:18">
      <c r="A36" s="319" t="s">
        <v>170</v>
      </c>
      <c r="B36" s="520">
        <v>0</v>
      </c>
      <c r="C36" s="520">
        <v>0</v>
      </c>
      <c r="D36" s="520">
        <v>0</v>
      </c>
      <c r="E36" s="520">
        <v>0</v>
      </c>
      <c r="F36" s="520">
        <v>0</v>
      </c>
      <c r="G36" s="520">
        <v>0</v>
      </c>
      <c r="H36" s="520">
        <v>0</v>
      </c>
      <c r="I36" s="520">
        <v>0</v>
      </c>
      <c r="J36" s="520">
        <v>0</v>
      </c>
      <c r="K36" s="520">
        <v>0</v>
      </c>
      <c r="L36" s="520">
        <v>0</v>
      </c>
      <c r="M36" s="520">
        <v>0</v>
      </c>
      <c r="N36" s="529">
        <f>SUM(B36:M36)</f>
        <v>0</v>
      </c>
      <c r="O36" s="642">
        <f>36788.21+N36</f>
        <v>36788.21</v>
      </c>
      <c r="P36" s="529">
        <v>340000</v>
      </c>
      <c r="Q36" s="529">
        <v>0</v>
      </c>
      <c r="R36" s="644">
        <f t="shared" si="9"/>
        <v>0.10820061764705882</v>
      </c>
    </row>
    <row r="37" spans="1:18" ht="13">
      <c r="A37" s="304" t="s">
        <v>278</v>
      </c>
      <c r="B37" s="520">
        <f t="shared" ref="B37:Q37" si="10">SUM(B33:B36)</f>
        <v>113025</v>
      </c>
      <c r="C37" s="523">
        <f t="shared" si="10"/>
        <v>0</v>
      </c>
      <c r="D37" s="523">
        <f t="shared" si="10"/>
        <v>0</v>
      </c>
      <c r="E37" s="523">
        <f t="shared" si="10"/>
        <v>0</v>
      </c>
      <c r="F37" s="523">
        <f t="shared" si="10"/>
        <v>0</v>
      </c>
      <c r="G37" s="521">
        <f t="shared" si="10"/>
        <v>0</v>
      </c>
      <c r="H37" s="523">
        <f t="shared" si="10"/>
        <v>0</v>
      </c>
      <c r="I37" s="523">
        <f t="shared" si="10"/>
        <v>0</v>
      </c>
      <c r="J37" s="523">
        <f t="shared" si="10"/>
        <v>0</v>
      </c>
      <c r="K37" s="523">
        <f t="shared" si="10"/>
        <v>0</v>
      </c>
      <c r="L37" s="523">
        <f t="shared" si="10"/>
        <v>0</v>
      </c>
      <c r="M37" s="523">
        <f t="shared" si="10"/>
        <v>0</v>
      </c>
      <c r="N37" s="526">
        <f>SUM(N33:N36)</f>
        <v>113025</v>
      </c>
      <c r="O37" s="610">
        <f>SUM(O33:O36)</f>
        <v>836686.87</v>
      </c>
      <c r="P37" s="525">
        <f t="shared" si="10"/>
        <v>5495000</v>
      </c>
      <c r="Q37" s="526">
        <f t="shared" si="10"/>
        <v>0</v>
      </c>
      <c r="R37" s="647">
        <f>O37/P37</f>
        <v>0.15226330664240217</v>
      </c>
    </row>
    <row r="38" spans="1:18">
      <c r="A38" s="302"/>
      <c r="B38" s="516"/>
      <c r="C38" s="517"/>
      <c r="D38" s="517"/>
      <c r="E38" s="517"/>
      <c r="F38" s="527"/>
      <c r="G38" s="528"/>
      <c r="H38" s="527"/>
      <c r="I38" s="527"/>
      <c r="J38" s="527"/>
      <c r="K38" s="527"/>
      <c r="L38" s="527"/>
      <c r="M38" s="527"/>
      <c r="N38" s="529"/>
      <c r="O38" s="609"/>
      <c r="P38" s="530"/>
      <c r="Q38" s="529"/>
      <c r="R38" s="644"/>
    </row>
    <row r="39" spans="1:18" ht="13">
      <c r="A39" s="301" t="s">
        <v>171</v>
      </c>
      <c r="B39" s="516"/>
      <c r="C39" s="517"/>
      <c r="D39" s="517"/>
      <c r="E39" s="517"/>
      <c r="F39" s="527"/>
      <c r="G39" s="528"/>
      <c r="H39" s="527"/>
      <c r="I39" s="527"/>
      <c r="J39" s="527"/>
      <c r="K39" s="527"/>
      <c r="L39" s="527"/>
      <c r="M39" s="527"/>
      <c r="N39" s="529"/>
      <c r="O39" s="609"/>
      <c r="P39" s="530"/>
      <c r="Q39" s="529"/>
      <c r="R39" s="644"/>
    </row>
    <row r="40" spans="1:18">
      <c r="A40" s="302" t="s">
        <v>277</v>
      </c>
      <c r="B40" s="535">
        <v>2750</v>
      </c>
      <c r="C40" s="535">
        <v>0</v>
      </c>
      <c r="D40" s="535">
        <v>0</v>
      </c>
      <c r="E40" s="535">
        <v>0</v>
      </c>
      <c r="F40" s="535">
        <v>0</v>
      </c>
      <c r="G40" s="535">
        <v>0</v>
      </c>
      <c r="H40" s="535">
        <v>0</v>
      </c>
      <c r="I40" s="535">
        <v>0</v>
      </c>
      <c r="J40" s="535">
        <v>0</v>
      </c>
      <c r="K40" s="535">
        <v>0</v>
      </c>
      <c r="L40" s="535">
        <v>0</v>
      </c>
      <c r="M40" s="535">
        <v>0</v>
      </c>
      <c r="N40" s="529">
        <f>SUM(B40:M40)</f>
        <v>2750</v>
      </c>
      <c r="O40" s="642">
        <f>2744778+N40</f>
        <v>2747528</v>
      </c>
      <c r="P40" s="530">
        <v>4502000</v>
      </c>
      <c r="Q40" s="529">
        <v>0</v>
      </c>
      <c r="R40" s="644">
        <f t="shared" ref="R40" si="11">+O40/P40</f>
        <v>0.61029053753887164</v>
      </c>
    </row>
    <row r="41" spans="1:18" ht="13">
      <c r="A41" s="304" t="s">
        <v>172</v>
      </c>
      <c r="B41" s="520">
        <f t="shared" ref="B41:N41" si="12">SUM(B40:B40)</f>
        <v>2750</v>
      </c>
      <c r="C41" s="523">
        <f t="shared" si="12"/>
        <v>0</v>
      </c>
      <c r="D41" s="523">
        <f t="shared" si="12"/>
        <v>0</v>
      </c>
      <c r="E41" s="523">
        <f t="shared" si="12"/>
        <v>0</v>
      </c>
      <c r="F41" s="534">
        <f t="shared" si="12"/>
        <v>0</v>
      </c>
      <c r="G41" s="521">
        <f t="shared" si="12"/>
        <v>0</v>
      </c>
      <c r="H41" s="534">
        <f t="shared" si="12"/>
        <v>0</v>
      </c>
      <c r="I41" s="534">
        <f t="shared" si="12"/>
        <v>0</v>
      </c>
      <c r="J41" s="534">
        <f t="shared" si="12"/>
        <v>0</v>
      </c>
      <c r="K41" s="534">
        <f t="shared" si="12"/>
        <v>0</v>
      </c>
      <c r="L41" s="534">
        <f t="shared" si="12"/>
        <v>0</v>
      </c>
      <c r="M41" s="534">
        <f t="shared" si="12"/>
        <v>0</v>
      </c>
      <c r="N41" s="526">
        <f t="shared" si="12"/>
        <v>2750</v>
      </c>
      <c r="O41" s="610">
        <f>O40</f>
        <v>2747528</v>
      </c>
      <c r="P41" s="525">
        <f>SUM(P40)</f>
        <v>4502000</v>
      </c>
      <c r="Q41" s="526">
        <f>SUM(Q40:Q40)</f>
        <v>0</v>
      </c>
      <c r="R41" s="647">
        <f>O41/P41</f>
        <v>0.61029053753887164</v>
      </c>
    </row>
    <row r="42" spans="1:18" ht="13">
      <c r="A42" s="301"/>
      <c r="B42" s="516"/>
      <c r="C42" s="517"/>
      <c r="D42" s="517"/>
      <c r="E42" s="517"/>
      <c r="F42" s="527"/>
      <c r="G42" s="528"/>
      <c r="H42" s="527"/>
      <c r="I42" s="527"/>
      <c r="J42" s="527"/>
      <c r="K42" s="527"/>
      <c r="L42" s="527"/>
      <c r="M42" s="527"/>
      <c r="N42" s="529"/>
      <c r="O42" s="611"/>
      <c r="P42" s="536"/>
      <c r="Q42" s="529"/>
      <c r="R42" s="644"/>
    </row>
    <row r="43" spans="1:18" ht="13">
      <c r="A43" s="301" t="s">
        <v>173</v>
      </c>
      <c r="B43" s="516"/>
      <c r="C43" s="517"/>
      <c r="D43" s="517"/>
      <c r="E43" s="517"/>
      <c r="F43" s="527"/>
      <c r="G43" s="528"/>
      <c r="H43" s="527"/>
      <c r="I43" s="527"/>
      <c r="J43" s="527"/>
      <c r="K43" s="527"/>
      <c r="L43" s="527"/>
      <c r="M43" s="527"/>
      <c r="N43" s="529"/>
      <c r="O43" s="611"/>
      <c r="P43" s="530"/>
      <c r="Q43" s="529"/>
      <c r="R43" s="644"/>
    </row>
    <row r="44" spans="1:18" ht="14.5">
      <c r="A44" s="302" t="s">
        <v>276</v>
      </c>
      <c r="B44" s="516">
        <v>37208</v>
      </c>
      <c r="C44" s="516">
        <v>0</v>
      </c>
      <c r="D44" s="516">
        <v>0</v>
      </c>
      <c r="E44" s="516">
        <v>0</v>
      </c>
      <c r="F44" s="516">
        <v>0</v>
      </c>
      <c r="G44" s="516">
        <v>0</v>
      </c>
      <c r="H44" s="516">
        <v>0</v>
      </c>
      <c r="I44" s="516">
        <v>0</v>
      </c>
      <c r="J44" s="516">
        <v>0</v>
      </c>
      <c r="K44" s="516">
        <v>0</v>
      </c>
      <c r="L44" s="516">
        <v>0</v>
      </c>
      <c r="M44" s="516">
        <v>0</v>
      </c>
      <c r="N44" s="529">
        <f>SUM(B44:M44)</f>
        <v>37208</v>
      </c>
      <c r="O44" s="642">
        <f>1537662+N44</f>
        <v>1574870</v>
      </c>
      <c r="P44" s="537">
        <f>4095000-166000</f>
        <v>3929000</v>
      </c>
      <c r="Q44" s="529">
        <v>-166000</v>
      </c>
      <c r="R44" s="644">
        <f t="shared" ref="R44:R47" si="13">+O44/P44</f>
        <v>0.40083227284296258</v>
      </c>
    </row>
    <row r="45" spans="1:18" s="197" customFormat="1" ht="14.5">
      <c r="A45" s="303" t="s">
        <v>275</v>
      </c>
      <c r="B45" s="516">
        <v>120524</v>
      </c>
      <c r="C45" s="516">
        <v>0</v>
      </c>
      <c r="D45" s="516">
        <v>0</v>
      </c>
      <c r="E45" s="516">
        <v>0</v>
      </c>
      <c r="F45" s="516">
        <v>0</v>
      </c>
      <c r="G45" s="516">
        <v>0</v>
      </c>
      <c r="H45" s="516">
        <v>0</v>
      </c>
      <c r="I45" s="516">
        <v>0</v>
      </c>
      <c r="J45" s="516">
        <v>0</v>
      </c>
      <c r="K45" s="516">
        <v>0</v>
      </c>
      <c r="L45" s="516">
        <v>0</v>
      </c>
      <c r="M45" s="516">
        <v>0</v>
      </c>
      <c r="N45" s="530">
        <f>SUM(B45:M45)</f>
        <v>120524</v>
      </c>
      <c r="O45" s="642">
        <f>5262171+N45</f>
        <v>5382695</v>
      </c>
      <c r="P45" s="537">
        <f>7948000+566000</f>
        <v>8514000</v>
      </c>
      <c r="Q45" s="530">
        <v>566000</v>
      </c>
      <c r="R45" s="649">
        <f t="shared" si="13"/>
        <v>0.63221693680996005</v>
      </c>
    </row>
    <row r="46" spans="1:18">
      <c r="A46" s="302" t="s">
        <v>247</v>
      </c>
      <c r="B46" s="516">
        <v>23262</v>
      </c>
      <c r="C46" s="516">
        <v>0</v>
      </c>
      <c r="D46" s="516">
        <v>0</v>
      </c>
      <c r="E46" s="516">
        <v>0</v>
      </c>
      <c r="F46" s="516">
        <v>0</v>
      </c>
      <c r="G46" s="516">
        <v>0</v>
      </c>
      <c r="H46" s="516">
        <v>0</v>
      </c>
      <c r="I46" s="516">
        <v>0</v>
      </c>
      <c r="J46" s="516">
        <v>0</v>
      </c>
      <c r="K46" s="516">
        <v>0</v>
      </c>
      <c r="L46" s="516">
        <v>0</v>
      </c>
      <c r="M46" s="516">
        <v>0</v>
      </c>
      <c r="N46" s="529">
        <f>SUM(B46:M46)</f>
        <v>23262</v>
      </c>
      <c r="O46" s="642">
        <f>2125875+N46</f>
        <v>2149137</v>
      </c>
      <c r="P46" s="538">
        <f>5600600-400000</f>
        <v>5200600</v>
      </c>
      <c r="Q46" s="529">
        <v>-400000</v>
      </c>
      <c r="R46" s="644">
        <f t="shared" si="13"/>
        <v>0.41324789447371457</v>
      </c>
    </row>
    <row r="47" spans="1:18">
      <c r="A47" s="302" t="s">
        <v>175</v>
      </c>
      <c r="B47" s="516">
        <v>3379</v>
      </c>
      <c r="C47" s="516">
        <v>0</v>
      </c>
      <c r="D47" s="516">
        <v>0</v>
      </c>
      <c r="E47" s="516">
        <v>0</v>
      </c>
      <c r="F47" s="516">
        <v>0</v>
      </c>
      <c r="G47" s="516">
        <v>0</v>
      </c>
      <c r="H47" s="516">
        <v>0</v>
      </c>
      <c r="I47" s="516">
        <v>0</v>
      </c>
      <c r="J47" s="516">
        <v>0</v>
      </c>
      <c r="K47" s="516">
        <v>0</v>
      </c>
      <c r="L47" s="516">
        <v>0</v>
      </c>
      <c r="M47" s="516">
        <v>0</v>
      </c>
      <c r="N47" s="529">
        <f>SUM(B47:M47)</f>
        <v>3379</v>
      </c>
      <c r="O47" s="642">
        <f>239456+N47</f>
        <v>242835</v>
      </c>
      <c r="P47" s="539">
        <v>1000000</v>
      </c>
      <c r="Q47" s="529">
        <v>0</v>
      </c>
      <c r="R47" s="644">
        <f t="shared" si="13"/>
        <v>0.242835</v>
      </c>
    </row>
    <row r="48" spans="1:18" ht="13">
      <c r="A48" s="304" t="s">
        <v>176</v>
      </c>
      <c r="B48" s="531">
        <f>SUM(B44:B47)</f>
        <v>184373</v>
      </c>
      <c r="C48" s="532">
        <f t="shared" ref="C48:M48" si="14">SUM(C44:C47)</f>
        <v>0</v>
      </c>
      <c r="D48" s="532">
        <f t="shared" si="14"/>
        <v>0</v>
      </c>
      <c r="E48" s="532">
        <f t="shared" si="14"/>
        <v>0</v>
      </c>
      <c r="F48" s="532">
        <f t="shared" si="14"/>
        <v>0</v>
      </c>
      <c r="G48" s="532">
        <f>SUM(G44:G47)</f>
        <v>0</v>
      </c>
      <c r="H48" s="532">
        <f t="shared" si="14"/>
        <v>0</v>
      </c>
      <c r="I48" s="532">
        <f t="shared" si="14"/>
        <v>0</v>
      </c>
      <c r="J48" s="532">
        <f t="shared" si="14"/>
        <v>0</v>
      </c>
      <c r="K48" s="532">
        <f t="shared" si="14"/>
        <v>0</v>
      </c>
      <c r="L48" s="532">
        <f t="shared" si="14"/>
        <v>0</v>
      </c>
      <c r="M48" s="532">
        <f t="shared" si="14"/>
        <v>0</v>
      </c>
      <c r="N48" s="526">
        <f>N47+N46+N45+N44</f>
        <v>184373</v>
      </c>
      <c r="O48" s="610">
        <f>SUM(O44:O47)</f>
        <v>9349537</v>
      </c>
      <c r="P48" s="525">
        <f>SUM(P44:P47)</f>
        <v>18643600</v>
      </c>
      <c r="Q48" s="526">
        <f>SUM(Q44:Q47)</f>
        <v>0</v>
      </c>
      <c r="R48" s="647">
        <f>O48/P48</f>
        <v>0.50148774914716043</v>
      </c>
    </row>
    <row r="49" spans="1:18" ht="13">
      <c r="A49" s="301"/>
      <c r="B49" s="516"/>
      <c r="C49" s="517"/>
      <c r="D49" s="517"/>
      <c r="E49" s="517"/>
      <c r="F49" s="527"/>
      <c r="G49" s="528"/>
      <c r="H49" s="527"/>
      <c r="I49" s="527"/>
      <c r="J49" s="527"/>
      <c r="K49" s="527"/>
      <c r="L49" s="527"/>
      <c r="M49" s="527"/>
      <c r="N49" s="529"/>
      <c r="O49" s="609"/>
      <c r="P49" s="530"/>
      <c r="Q49" s="529"/>
      <c r="R49" s="644"/>
    </row>
    <row r="50" spans="1:18" ht="15" customHeight="1">
      <c r="A50" s="307" t="s">
        <v>177</v>
      </c>
      <c r="B50" s="531">
        <f>B48+B41+B37+B30+B24+B20+B16</f>
        <v>661763</v>
      </c>
      <c r="C50" s="532">
        <f>C48+C41+C37+C30+C24+C20+C16</f>
        <v>0</v>
      </c>
      <c r="D50" s="532">
        <f t="shared" ref="D50:M50" si="15">D48+D41+D37+D30+D24+D20+D16</f>
        <v>0</v>
      </c>
      <c r="E50" s="532">
        <f t="shared" si="15"/>
        <v>0</v>
      </c>
      <c r="F50" s="532">
        <f t="shared" si="15"/>
        <v>0</v>
      </c>
      <c r="G50" s="532">
        <f t="shared" si="15"/>
        <v>0</v>
      </c>
      <c r="H50" s="532">
        <f t="shared" si="15"/>
        <v>0</v>
      </c>
      <c r="I50" s="532">
        <f t="shared" si="15"/>
        <v>0</v>
      </c>
      <c r="J50" s="532">
        <f t="shared" si="15"/>
        <v>0</v>
      </c>
      <c r="K50" s="532">
        <f t="shared" si="15"/>
        <v>0</v>
      </c>
      <c r="L50" s="532">
        <f t="shared" si="15"/>
        <v>0</v>
      </c>
      <c r="M50" s="532">
        <f t="shared" si="15"/>
        <v>0</v>
      </c>
      <c r="N50" s="650">
        <f>N48+N41+N37+N30+N24+N20+N16</f>
        <v>661763</v>
      </c>
      <c r="O50" s="651">
        <f>O48+O41+O37+O30+O24+O20+O16</f>
        <v>27571354.869999997</v>
      </c>
      <c r="P50" s="652">
        <f>P48+P41+P37+P30+P24+P20+P16</f>
        <v>82380102</v>
      </c>
      <c r="Q50" s="652">
        <f>Q16+Q30+Q48</f>
        <v>0</v>
      </c>
      <c r="R50" s="647">
        <f>O50/P50</f>
        <v>0.33468464107995394</v>
      </c>
    </row>
    <row r="51" spans="1:18" ht="15" customHeight="1">
      <c r="A51" s="308"/>
      <c r="B51" s="540"/>
      <c r="C51" s="527"/>
      <c r="D51" s="527"/>
      <c r="E51" s="527"/>
      <c r="F51" s="527"/>
      <c r="G51" s="541"/>
      <c r="H51" s="527"/>
      <c r="I51" s="527"/>
      <c r="J51" s="527"/>
      <c r="K51" s="527"/>
      <c r="L51" s="527"/>
      <c r="M51" s="527"/>
      <c r="N51" s="527"/>
      <c r="O51" s="612"/>
      <c r="P51" s="527" t="s">
        <v>56</v>
      </c>
      <c r="Q51" s="527"/>
      <c r="R51" s="641"/>
    </row>
    <row r="52" spans="1:18" ht="10.5" customHeight="1" thickBot="1">
      <c r="A52" s="202"/>
      <c r="B52" s="200"/>
      <c r="C52" s="140"/>
      <c r="D52" s="140"/>
      <c r="E52" s="140"/>
      <c r="F52" s="140"/>
      <c r="G52" s="140"/>
      <c r="H52" s="140"/>
      <c r="I52" s="140"/>
      <c r="J52" s="140"/>
      <c r="K52" s="140"/>
      <c r="L52" s="140"/>
      <c r="M52" s="140"/>
      <c r="N52" s="140"/>
      <c r="O52" s="613"/>
      <c r="P52" s="141"/>
      <c r="Q52" s="141"/>
      <c r="R52" s="295"/>
    </row>
    <row r="53" spans="1:18">
      <c r="A53" s="197"/>
      <c r="G53" s="252"/>
      <c r="P53" s="252" t="s">
        <v>56</v>
      </c>
    </row>
    <row r="54" spans="1:18" ht="14">
      <c r="A54" s="265" t="s">
        <v>63</v>
      </c>
      <c r="B54" s="197"/>
      <c r="N54" s="341"/>
      <c r="P54" s="130" t="s">
        <v>56</v>
      </c>
    </row>
    <row r="55" spans="1:18">
      <c r="A55" s="568"/>
    </row>
    <row r="56" spans="1:18">
      <c r="A56" s="568"/>
    </row>
    <row r="57" spans="1:18" ht="14">
      <c r="A57" s="238" t="s">
        <v>65</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C4" sqref="C4"/>
    </sheetView>
  </sheetViews>
  <sheetFormatPr defaultColWidth="9.26953125" defaultRowHeight="12.5"/>
  <cols>
    <col min="1" max="1" width="29.26953125" style="142" customWidth="1"/>
    <col min="2" max="2" width="15" style="142"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178</v>
      </c>
    </row>
    <row r="3" spans="1:5" ht="13">
      <c r="C3" s="198" t="s">
        <v>298</v>
      </c>
    </row>
    <row r="4" spans="1:5">
      <c r="C4" s="17"/>
    </row>
    <row r="5" spans="1:5">
      <c r="C5" s="17"/>
      <c r="D5" s="196"/>
    </row>
    <row r="6" spans="1:5" s="17" customFormat="1" ht="13">
      <c r="A6" s="271"/>
      <c r="B6" s="271"/>
    </row>
    <row r="7" spans="1:5" s="17" customFormat="1"/>
    <row r="8" spans="1:5" s="19" customFormat="1" ht="13">
      <c r="A8" s="18" t="s">
        <v>179</v>
      </c>
      <c r="B8" s="18" t="s">
        <v>180</v>
      </c>
      <c r="C8" s="18" t="s">
        <v>181</v>
      </c>
      <c r="D8" s="18" t="s">
        <v>182</v>
      </c>
      <c r="E8" s="18" t="s">
        <v>183</v>
      </c>
    </row>
    <row r="9" spans="1:5" s="348" customFormat="1" ht="50">
      <c r="A9" s="344" t="s">
        <v>173</v>
      </c>
      <c r="B9" s="345">
        <v>-166000</v>
      </c>
      <c r="C9" s="352" t="s">
        <v>174</v>
      </c>
      <c r="D9" s="347">
        <v>44061</v>
      </c>
      <c r="E9" s="346" t="s">
        <v>248</v>
      </c>
    </row>
    <row r="10" spans="1:5" s="351" customFormat="1" ht="50">
      <c r="A10" s="344" t="s">
        <v>173</v>
      </c>
      <c r="B10" s="350">
        <v>-400000</v>
      </c>
      <c r="C10" s="352" t="s">
        <v>247</v>
      </c>
      <c r="D10" s="347">
        <v>44061</v>
      </c>
      <c r="E10" s="346" t="s">
        <v>248</v>
      </c>
    </row>
    <row r="11" spans="1:5" s="351" customFormat="1" ht="50">
      <c r="A11" s="344" t="s">
        <v>173</v>
      </c>
      <c r="B11" s="350">
        <v>566000</v>
      </c>
      <c r="C11" s="353" t="s">
        <v>246</v>
      </c>
      <c r="D11" s="347">
        <v>44061</v>
      </c>
      <c r="E11" s="346" t="s">
        <v>248</v>
      </c>
    </row>
    <row r="12" spans="1:5" s="351" customFormat="1">
      <c r="A12" s="349" t="s">
        <v>56</v>
      </c>
      <c r="B12" s="350" t="s">
        <v>56</v>
      </c>
      <c r="C12" s="353" t="s">
        <v>56</v>
      </c>
      <c r="D12" s="347"/>
      <c r="E12" s="346"/>
    </row>
    <row r="13" spans="1:5" ht="13">
      <c r="A13" s="144" t="s">
        <v>92</v>
      </c>
      <c r="B13" s="231">
        <f>SUM(B9:B12)</f>
        <v>0</v>
      </c>
      <c r="C13" s="143"/>
      <c r="D13" s="143"/>
      <c r="E13" s="143"/>
    </row>
    <row r="14" spans="1:5">
      <c r="A14" s="143"/>
      <c r="B14" s="143"/>
      <c r="C14" s="143"/>
      <c r="D14" s="143"/>
      <c r="E14" s="143"/>
    </row>
    <row r="16" spans="1:5" ht="14">
      <c r="A16" s="448" t="s">
        <v>63</v>
      </c>
    </row>
    <row r="17" spans="1:5" ht="14">
      <c r="A17" s="449" t="s">
        <v>184</v>
      </c>
    </row>
    <row r="18" spans="1:5" ht="14">
      <c r="A18" s="448"/>
    </row>
    <row r="19" spans="1:5" ht="14.5">
      <c r="A19" s="450" t="s">
        <v>65</v>
      </c>
      <c r="E19" s="145"/>
    </row>
  </sheetData>
  <phoneticPr fontId="43"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8120CF1742454EAA5F46667CE32BC6" ma:contentTypeVersion="13" ma:contentTypeDescription="Create a new document." ma:contentTypeScope="" ma:versionID="a0b49d78f352411d4f3314d97d8c9367">
  <xsd:schema xmlns:xsd="http://www.w3.org/2001/XMLSchema" xmlns:xs="http://www.w3.org/2001/XMLSchema" xmlns:p="http://schemas.microsoft.com/office/2006/metadata/properties" xmlns:ns3="f94972ee-987b-4bc0-8917-bcd35db88b90" xmlns:ns4="fef1a0f5-9cd9-4f8e-b730-80a464c06658" targetNamespace="http://schemas.microsoft.com/office/2006/metadata/properties" ma:root="true" ma:fieldsID="7283c488c07d15f72c554fed2867630d" ns3:_="" ns4:_="">
    <xsd:import namespace="f94972ee-987b-4bc0-8917-bcd35db88b90"/>
    <xsd:import namespace="fef1a0f5-9cd9-4f8e-b730-80a464c066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972ee-987b-4bc0-8917-bcd35db88b9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f1a0f5-9cd9-4f8e-b730-80a464c066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1EB23612-4902-4236-B9D9-7393127A4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972ee-987b-4bc0-8917-bcd35db88b90"/>
    <ds:schemaRef ds:uri="fef1a0f5-9cd9-4f8e-b730-80a464c0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CE5A5-034A-44C5-96B1-1FD952A1C468}">
  <ds:schemaRefs>
    <ds:schemaRef ds:uri="http://purl.org/dc/elements/1.1/"/>
    <ds:schemaRef ds:uri="http://schemas.microsoft.com/office/2006/metadata/properties"/>
    <ds:schemaRef ds:uri="http://purl.org/dc/terms/"/>
    <ds:schemaRef ds:uri="f94972ee-987b-4bc0-8917-bcd35db88b90"/>
    <ds:schemaRef ds:uri="http://schemas.microsoft.com/office/2006/documentManagement/types"/>
    <ds:schemaRef ds:uri="http://schemas.microsoft.com/office/infopath/2007/PartnerControls"/>
    <ds:schemaRef ds:uri="http://schemas.openxmlformats.org/package/2006/metadata/core-properties"/>
    <ds:schemaRef ds:uri="fef1a0f5-9cd9-4f8e-b730-80a464c0665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Pitsko, Kenneth C</cp:lastModifiedBy>
  <cp:revision/>
  <dcterms:created xsi:type="dcterms:W3CDTF">2013-01-03T17:03:43Z</dcterms:created>
  <dcterms:modified xsi:type="dcterms:W3CDTF">2021-02-18T22:40:57Z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0x010100D58120CF1742454EAA5F46667CE32BC6</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88eefaac-7cff-4429-bd7c-30ee8b1d56cd</vt:lpwstr>
  </property>
  <property fmtid="{D5CDD505-2E9C-101B-9397-08002B2CF9AE}" pid="8" name="SharedWithUsers">
    <vt:lpwstr>212;#Valdivieso, Guillermo</vt:lpwstr>
  </property>
  <property fmtid="{D5CDD505-2E9C-101B-9397-08002B2CF9AE}" pid="9" name="CofWorkbookId">
    <vt:lpwstr>65a58faf-3242-42bb-aeb7-8d0c215b0320</vt:lpwstr>
  </property>
</Properties>
</file>