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nderso\OneDrive - Sempra Energy\documents\GRC Phase 2\2019 GRC PHASE 2_APPLICATION\Settlement\workpapers settlement offer 1\"/>
    </mc:Choice>
  </mc:AlternateContent>
  <xr:revisionPtr revIDLastSave="4" documentId="13_ncr:1_{EF8DB274-4695-43A3-9B80-F7D579EA536D}" xr6:coauthVersionLast="44" xr6:coauthVersionMax="44" xr10:uidLastSave="{8BF96949-520C-486D-BBB6-F767E28A7E96}"/>
  <bookViews>
    <workbookView xWindow="-21720" yWindow="-120" windowWidth="21840" windowHeight="13140" tabRatio="783" activeTab="4" xr2:uid="{00000000-000D-0000-FFFF-FFFF00000000}"/>
  </bookViews>
  <sheets>
    <sheet name="Description" sheetId="28" r:id="rId1"/>
    <sheet name="Distribution 1 Year" sheetId="5" r:id="rId2"/>
    <sheet name="Distribution 3 Year" sheetId="21" state="hidden" r:id="rId3"/>
    <sheet name="Misc. Programs" sheetId="27" r:id="rId4"/>
    <sheet name="Commodity" sheetId="6" r:id="rId5"/>
    <sheet name="LGC" sheetId="12" r:id="rId6"/>
    <sheet name="CTC" sheetId="7" r:id="rId7"/>
    <sheet name="Total PPP" sheetId="17" r:id="rId8"/>
    <sheet name="PPP-EE and EPEEBA" sheetId="8" r:id="rId9"/>
    <sheet name="PPP - CARE" sheetId="10" r:id="rId10"/>
    <sheet name="PPP - FERA" sheetId="32" r:id="rId11"/>
    <sheet name="PPP - ESAP" sheetId="11" r:id="rId12"/>
    <sheet name="PPP- EPIC" sheetId="9" r:id="rId13"/>
    <sheet name="PPP - SGIP" sheetId="30" r:id="rId14"/>
    <sheet name="PPP - CSI" sheetId="31" r:id="rId15"/>
    <sheet name="PPP - Food Bank" sheetId="33" r:id="rId16"/>
    <sheet name="PPP - TMNB" sheetId="34" r:id="rId17"/>
    <sheet name="Sales %" sheetId="13" r:id="rId18"/>
    <sheet name="PPP Rates" sheetId="24" r:id="rId19"/>
  </sheets>
  <externalReferences>
    <externalReference r:id="rId20"/>
    <externalReference r:id="rId21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jj" hidden="1">#REF!</definedName>
    <definedName name="jkl" hidden="1">{#N/A,#N/A,FALSE,"trates"}</definedName>
    <definedName name="limcount" hidden="1">1</definedName>
    <definedName name="_xlnm.Print_Area">#REF!</definedName>
    <definedName name="Print_Area_MI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9" i="28" l="1"/>
  <c r="A37" i="28"/>
  <c r="F103" i="24" l="1"/>
  <c r="C12" i="13" l="1"/>
  <c r="C11" i="13"/>
  <c r="C109" i="24"/>
  <c r="D108" i="24" l="1"/>
  <c r="D107" i="24"/>
  <c r="D106" i="24"/>
  <c r="D105" i="24"/>
  <c r="D104" i="24"/>
  <c r="D109" i="24" l="1"/>
  <c r="E7" i="17" l="1"/>
  <c r="K20" i="17" l="1"/>
  <c r="E10" i="34"/>
  <c r="E9" i="34"/>
  <c r="E8" i="34"/>
  <c r="E7" i="34"/>
  <c r="A3" i="34"/>
  <c r="A2" i="34"/>
  <c r="A1" i="34"/>
  <c r="K19" i="17" l="1"/>
  <c r="K16" i="17"/>
  <c r="K18" i="17"/>
  <c r="K17" i="17"/>
  <c r="E12" i="6" l="1"/>
  <c r="D20" i="7" l="1"/>
  <c r="D19" i="7"/>
  <c r="D18" i="7"/>
  <c r="D17" i="7"/>
  <c r="D16" i="7"/>
  <c r="D15" i="7"/>
  <c r="C19" i="7" l="1"/>
  <c r="E19" i="7" s="1"/>
  <c r="C18" i="7"/>
  <c r="C17" i="7"/>
  <c r="C16" i="7"/>
  <c r="C15" i="7"/>
  <c r="E10" i="6"/>
  <c r="C15" i="6" l="1"/>
  <c r="C20" i="6" l="1"/>
  <c r="D23" i="5" l="1"/>
  <c r="C23" i="5"/>
  <c r="C7" i="5" s="1"/>
  <c r="E22" i="5"/>
  <c r="E23" i="13"/>
  <c r="D12" i="5" l="1"/>
  <c r="D8" i="5"/>
  <c r="F98" i="24"/>
  <c r="C99" i="24" l="1"/>
  <c r="I20" i="17" l="1"/>
  <c r="J20" i="17"/>
  <c r="A3" i="33" l="1"/>
  <c r="A2" i="33"/>
  <c r="A1" i="33"/>
  <c r="D84" i="24" l="1"/>
  <c r="D88" i="24"/>
  <c r="D87" i="24"/>
  <c r="D86" i="24"/>
  <c r="D85" i="24"/>
  <c r="F88" i="24"/>
  <c r="D89" i="24" l="1"/>
  <c r="C23" i="24"/>
  <c r="C43" i="24"/>
  <c r="C79" i="24"/>
  <c r="C53" i="24"/>
  <c r="C13" i="24"/>
  <c r="C66" i="24"/>
  <c r="C89" i="24"/>
  <c r="C33" i="24"/>
  <c r="D95" i="24" l="1"/>
  <c r="D96" i="24"/>
  <c r="D97" i="24"/>
  <c r="D94" i="24"/>
  <c r="D98" i="24"/>
  <c r="D99" i="24" l="1"/>
  <c r="C19" i="6" l="1"/>
  <c r="C18" i="6"/>
  <c r="C17" i="6"/>
  <c r="C16" i="6"/>
  <c r="D21" i="6" l="1"/>
  <c r="D16" i="6" l="1"/>
  <c r="D17" i="6"/>
  <c r="D15" i="6"/>
  <c r="A3" i="32"/>
  <c r="A2" i="32"/>
  <c r="A1" i="32"/>
  <c r="C9" i="5" l="1"/>
  <c r="C12" i="5"/>
  <c r="C10" i="5"/>
  <c r="C8" i="5"/>
  <c r="C11" i="5"/>
  <c r="E17" i="5"/>
  <c r="A3" i="31"/>
  <c r="A2" i="31"/>
  <c r="A1" i="31"/>
  <c r="E12" i="5" l="1"/>
  <c r="D10" i="5"/>
  <c r="D9" i="5"/>
  <c r="D11" i="5"/>
  <c r="D7" i="5"/>
  <c r="D71" i="24"/>
  <c r="D78" i="24"/>
  <c r="D8" i="31"/>
  <c r="D74" i="24"/>
  <c r="D10" i="31"/>
  <c r="D9" i="31"/>
  <c r="D72" i="24"/>
  <c r="D7" i="31"/>
  <c r="D11" i="31"/>
  <c r="D77" i="24"/>
  <c r="E11" i="5" l="1"/>
  <c r="E10" i="31"/>
  <c r="H19" i="17" s="1"/>
  <c r="E8" i="31"/>
  <c r="E7" i="31"/>
  <c r="E9" i="31"/>
  <c r="E7" i="5"/>
  <c r="E9" i="5"/>
  <c r="E8" i="5"/>
  <c r="E10" i="5"/>
  <c r="E11" i="31"/>
  <c r="D79" i="24"/>
  <c r="H17" i="17" l="1"/>
  <c r="H18" i="17"/>
  <c r="H16" i="17"/>
  <c r="H20" i="17"/>
  <c r="G42" i="24" l="1"/>
  <c r="G32" i="24" l="1"/>
  <c r="E9" i="30" l="1"/>
  <c r="D61" i="24"/>
  <c r="E10" i="30"/>
  <c r="D64" i="24"/>
  <c r="E7" i="30"/>
  <c r="D58" i="24"/>
  <c r="E11" i="30"/>
  <c r="D65" i="24"/>
  <c r="E8" i="30"/>
  <c r="D59" i="24"/>
  <c r="D66" i="24" l="1"/>
  <c r="G18" i="17"/>
  <c r="G19" i="17"/>
  <c r="G20" i="17"/>
  <c r="G17" i="17"/>
  <c r="G16" i="17"/>
  <c r="A3" i="30"/>
  <c r="A2" i="30"/>
  <c r="A1" i="30"/>
  <c r="A2" i="27" l="1"/>
  <c r="A7" i="28" l="1"/>
  <c r="A9" i="28" s="1"/>
  <c r="A11" i="28" s="1"/>
  <c r="A13" i="28" s="1"/>
  <c r="A15" i="28" s="1"/>
  <c r="A17" i="28" s="1"/>
  <c r="A19" i="28" s="1"/>
  <c r="A21" i="28" s="1"/>
  <c r="A23" i="28" s="1"/>
  <c r="A25" i="28" s="1"/>
  <c r="A27" i="28" s="1"/>
  <c r="A29" i="28" s="1"/>
  <c r="A31" i="28" s="1"/>
  <c r="A33" i="28" s="1"/>
  <c r="A35" i="28" s="1"/>
  <c r="A41" i="28" s="1"/>
  <c r="A2" i="24" l="1"/>
  <c r="A3" i="24"/>
  <c r="A1" i="24"/>
  <c r="A2" i="13"/>
  <c r="A3" i="13"/>
  <c r="A1" i="13"/>
  <c r="A3" i="12"/>
  <c r="A2" i="12"/>
  <c r="A1" i="12"/>
  <c r="A2" i="11"/>
  <c r="A3" i="11"/>
  <c r="A1" i="11"/>
  <c r="A2" i="10"/>
  <c r="A3" i="10"/>
  <c r="A1" i="10"/>
  <c r="A2" i="9"/>
  <c r="A3" i="9"/>
  <c r="A1" i="9"/>
  <c r="A2" i="8"/>
  <c r="A3" i="8"/>
  <c r="A1" i="8"/>
  <c r="A3" i="17"/>
  <c r="A2" i="17"/>
  <c r="A1" i="17"/>
  <c r="A3" i="7"/>
  <c r="A2" i="7"/>
  <c r="A1" i="7"/>
  <c r="A3" i="6"/>
  <c r="A2" i="6"/>
  <c r="A1" i="6"/>
  <c r="A3" i="27"/>
  <c r="A1" i="27"/>
  <c r="B3" i="21"/>
  <c r="B2" i="21"/>
  <c r="B1" i="21"/>
  <c r="G37" i="24" l="1"/>
  <c r="G27" i="24"/>
  <c r="G17" i="24"/>
  <c r="F47" i="24"/>
  <c r="F37" i="24"/>
  <c r="F27" i="24"/>
  <c r="F70" i="24" s="1"/>
  <c r="F17" i="24"/>
  <c r="F57" i="24" s="1"/>
  <c r="F93" i="24" l="1"/>
  <c r="F83" i="24"/>
  <c r="D21" i="21" l="1"/>
  <c r="D20" i="21"/>
  <c r="D19" i="21"/>
  <c r="D18" i="21"/>
  <c r="D17" i="21"/>
  <c r="C21" i="21"/>
  <c r="C20" i="21"/>
  <c r="C19" i="21"/>
  <c r="C18" i="21"/>
  <c r="C17" i="21"/>
  <c r="E17" i="21" l="1"/>
  <c r="F17" i="21" s="1"/>
  <c r="F7" i="21" s="1"/>
  <c r="E21" i="21"/>
  <c r="F21" i="21" s="1"/>
  <c r="F11" i="21" s="1"/>
  <c r="E18" i="21"/>
  <c r="F18" i="21" s="1"/>
  <c r="F8" i="21" s="1"/>
  <c r="E19" i="21"/>
  <c r="F19" i="21" s="1"/>
  <c r="F9" i="21" s="1"/>
  <c r="E20" i="21"/>
  <c r="F20" i="21" s="1"/>
  <c r="F10" i="21" s="1"/>
  <c r="D22" i="21"/>
  <c r="C22" i="21"/>
  <c r="C7" i="21" s="1"/>
  <c r="C9" i="21" l="1"/>
  <c r="G9" i="21" s="1"/>
  <c r="G19" i="21" s="1"/>
  <c r="G7" i="21"/>
  <c r="G17" i="21" s="1"/>
  <c r="I7" i="21"/>
  <c r="I17" i="21" s="1"/>
  <c r="H7" i="21"/>
  <c r="H17" i="21" s="1"/>
  <c r="D11" i="21"/>
  <c r="C8" i="21"/>
  <c r="D7" i="21"/>
  <c r="E7" i="21" s="1"/>
  <c r="D9" i="21"/>
  <c r="C11" i="21"/>
  <c r="D10" i="21"/>
  <c r="C10" i="21"/>
  <c r="D8" i="21"/>
  <c r="H9" i="21" l="1"/>
  <c r="H19" i="21" s="1"/>
  <c r="I9" i="21"/>
  <c r="I19" i="21" s="1"/>
  <c r="E9" i="21"/>
  <c r="E8" i="21"/>
  <c r="G10" i="21"/>
  <c r="G20" i="21" s="1"/>
  <c r="H10" i="21"/>
  <c r="H20" i="21" s="1"/>
  <c r="I10" i="21"/>
  <c r="I20" i="21" s="1"/>
  <c r="E10" i="21"/>
  <c r="I8" i="21"/>
  <c r="I18" i="21" s="1"/>
  <c r="H8" i="21"/>
  <c r="H18" i="21" s="1"/>
  <c r="G8" i="21"/>
  <c r="G18" i="21" s="1"/>
  <c r="E11" i="21"/>
  <c r="I11" i="21"/>
  <c r="I21" i="21" s="1"/>
  <c r="H11" i="21"/>
  <c r="H21" i="21" s="1"/>
  <c r="G11" i="21"/>
  <c r="G21" i="21" s="1"/>
  <c r="D32" i="24" l="1"/>
  <c r="D42" i="24" l="1"/>
  <c r="E22" i="21" l="1"/>
  <c r="F22" i="21" s="1"/>
  <c r="G22" i="21" l="1"/>
  <c r="H22" i="21"/>
  <c r="I22" i="21"/>
  <c r="E21" i="6" l="1"/>
  <c r="E21" i="5" l="1"/>
  <c r="E18" i="5" l="1"/>
  <c r="E19" i="5"/>
  <c r="E23" i="5"/>
  <c r="E20" i="5"/>
  <c r="C23" i="13" l="1"/>
  <c r="D48" i="24" l="1"/>
  <c r="D19" i="24"/>
  <c r="D9" i="24"/>
  <c r="D30" i="24"/>
  <c r="D41" i="24"/>
  <c r="D52" i="24"/>
  <c r="D29" i="24"/>
  <c r="D40" i="24"/>
  <c r="D51" i="24"/>
  <c r="D28" i="24"/>
  <c r="D39" i="24"/>
  <c r="D50" i="24"/>
  <c r="D21" i="24"/>
  <c r="D11" i="24"/>
  <c r="D38" i="24"/>
  <c r="D49" i="24"/>
  <c r="D31" i="24"/>
  <c r="D43" i="24" l="1"/>
  <c r="D33" i="24"/>
  <c r="D53" i="24"/>
  <c r="D20" i="24"/>
  <c r="D10" i="24"/>
  <c r="D22" i="24"/>
  <c r="D12" i="24"/>
  <c r="D18" i="24"/>
  <c r="D8" i="24"/>
  <c r="D23" i="24" l="1"/>
  <c r="D13" i="24"/>
  <c r="D13" i="27" l="1"/>
  <c r="E13" i="27" s="1"/>
  <c r="D12" i="27"/>
  <c r="E12" i="27" s="1"/>
  <c r="D11" i="27"/>
  <c r="E11" i="27" s="1"/>
  <c r="D10" i="27"/>
  <c r="E10" i="27" s="1"/>
  <c r="D9" i="27"/>
  <c r="E9" i="27" s="1"/>
  <c r="E7" i="12" l="1"/>
  <c r="E8" i="12"/>
  <c r="E9" i="12"/>
  <c r="E10" i="12"/>
  <c r="E11" i="12"/>
  <c r="D23" i="13" l="1"/>
  <c r="E21" i="7" l="1"/>
  <c r="E8" i="7" l="1"/>
  <c r="E9" i="7"/>
  <c r="E7" i="7"/>
  <c r="E10" i="7"/>
  <c r="E11" i="7"/>
  <c r="E12" i="7"/>
  <c r="E15" i="7" l="1"/>
  <c r="E18" i="7"/>
  <c r="E20" i="7"/>
  <c r="E16" i="7"/>
  <c r="E17" i="7"/>
  <c r="F107" i="24" l="1"/>
  <c r="G107" i="24" s="1"/>
  <c r="F77" i="24" l="1"/>
  <c r="F51" i="24"/>
  <c r="F64" i="24"/>
  <c r="F11" i="24"/>
  <c r="G11" i="24" s="1"/>
  <c r="E9" i="13"/>
  <c r="F41" i="24"/>
  <c r="F21" i="24"/>
  <c r="F106" i="24"/>
  <c r="G106" i="24" s="1"/>
  <c r="F105" i="24"/>
  <c r="G105" i="24" s="1"/>
  <c r="F104" i="24"/>
  <c r="G104" i="24" l="1"/>
  <c r="E7" i="13"/>
  <c r="F49" i="24"/>
  <c r="F72" i="24"/>
  <c r="F19" i="24"/>
  <c r="F39" i="24"/>
  <c r="F9" i="24"/>
  <c r="G9" i="24" s="1"/>
  <c r="F59" i="24"/>
  <c r="E6" i="13"/>
  <c r="F48" i="24"/>
  <c r="F71" i="24"/>
  <c r="F58" i="24"/>
  <c r="F38" i="24"/>
  <c r="F8" i="24"/>
  <c r="G8" i="24" s="1"/>
  <c r="F18" i="24"/>
  <c r="D12" i="13"/>
  <c r="G6" i="13" s="1"/>
  <c r="D7" i="11" s="1"/>
  <c r="F50" i="24"/>
  <c r="F10" i="24"/>
  <c r="G10" i="24" s="1"/>
  <c r="F40" i="24"/>
  <c r="E8" i="13"/>
  <c r="F20" i="24"/>
  <c r="F97" i="24"/>
  <c r="F31" i="24"/>
  <c r="F87" i="24"/>
  <c r="G8" i="13" l="1"/>
  <c r="D9" i="11" s="1"/>
  <c r="F96" i="24"/>
  <c r="F86" i="24"/>
  <c r="F30" i="24"/>
  <c r="G12" i="13"/>
  <c r="G9" i="13"/>
  <c r="D10" i="11" s="1"/>
  <c r="F95" i="24"/>
  <c r="F29" i="24"/>
  <c r="F85" i="24"/>
  <c r="E7" i="11"/>
  <c r="G7" i="13"/>
  <c r="D8" i="11" s="1"/>
  <c r="F43" i="24"/>
  <c r="F94" i="24"/>
  <c r="F28" i="24"/>
  <c r="F84" i="24"/>
  <c r="E11" i="13"/>
  <c r="H7" i="13" s="1"/>
  <c r="E9" i="11" l="1"/>
  <c r="D18" i="17" s="1"/>
  <c r="D8" i="32"/>
  <c r="D8" i="33"/>
  <c r="D8" i="10"/>
  <c r="F89" i="24"/>
  <c r="F33" i="24"/>
  <c r="D16" i="17"/>
  <c r="H11" i="13"/>
  <c r="H9" i="13"/>
  <c r="H6" i="13"/>
  <c r="F99" i="24"/>
  <c r="H8" i="13"/>
  <c r="E8" i="11"/>
  <c r="E10" i="11"/>
  <c r="D19" i="17" l="1"/>
  <c r="D7" i="10"/>
  <c r="D7" i="33"/>
  <c r="D7" i="32"/>
  <c r="E8" i="10"/>
  <c r="D10" i="33"/>
  <c r="D10" i="32"/>
  <c r="D10" i="10"/>
  <c r="E8" i="33"/>
  <c r="D17" i="17"/>
  <c r="D9" i="32"/>
  <c r="D9" i="10"/>
  <c r="D9" i="33"/>
  <c r="E8" i="32"/>
  <c r="E9" i="10" l="1"/>
  <c r="I17" i="17"/>
  <c r="E10" i="32"/>
  <c r="E7" i="33"/>
  <c r="J17" i="17"/>
  <c r="E9" i="33"/>
  <c r="E10" i="33"/>
  <c r="C17" i="17"/>
  <c r="E7" i="10"/>
  <c r="E9" i="32"/>
  <c r="E10" i="10"/>
  <c r="E7" i="32"/>
  <c r="C19" i="17" l="1"/>
  <c r="I16" i="17"/>
  <c r="I18" i="17"/>
  <c r="C16" i="17"/>
  <c r="J16" i="17"/>
  <c r="J18" i="17"/>
  <c r="C18" i="17"/>
  <c r="J19" i="17"/>
  <c r="I19" i="17"/>
  <c r="D20" i="6" l="1"/>
  <c r="E20" i="6" s="1"/>
  <c r="E7" i="6"/>
  <c r="E15" i="6" l="1"/>
  <c r="E8" i="6"/>
  <c r="D19" i="6"/>
  <c r="E11" i="6"/>
  <c r="D18" i="6"/>
  <c r="E9" i="6"/>
  <c r="E16" i="6" l="1"/>
  <c r="E18" i="6"/>
  <c r="E17" i="6"/>
  <c r="E19" i="6"/>
  <c r="G76" i="24" l="1"/>
  <c r="G63" i="24"/>
  <c r="G61" i="24" l="1"/>
  <c r="G74" i="24"/>
  <c r="G18" i="24" l="1"/>
  <c r="G21" i="24"/>
  <c r="G39" i="24"/>
  <c r="G41" i="24"/>
  <c r="G19" i="24"/>
  <c r="G30" i="24" l="1"/>
  <c r="G77" i="24"/>
  <c r="G72" i="24"/>
  <c r="G20" i="24"/>
  <c r="G96" i="24"/>
  <c r="G43" i="24"/>
  <c r="G40" i="24"/>
  <c r="G31" i="24"/>
  <c r="G49" i="24"/>
  <c r="G48" i="24"/>
  <c r="G97" i="24"/>
  <c r="G64" i="24"/>
  <c r="G50" i="24"/>
  <c r="G85" i="24"/>
  <c r="G59" i="24"/>
  <c r="G86" i="24"/>
  <c r="G51" i="24"/>
  <c r="G38" i="24"/>
  <c r="G29" i="24"/>
  <c r="G95" i="24"/>
  <c r="G99" i="24" l="1"/>
  <c r="G58" i="24"/>
  <c r="G94" i="24"/>
  <c r="G87" i="24"/>
  <c r="G84" i="24" l="1"/>
  <c r="G89" i="24"/>
  <c r="G71" i="24"/>
  <c r="G28" i="24"/>
  <c r="G33" i="24"/>
  <c r="D22" i="17" l="1"/>
  <c r="K22" i="17"/>
  <c r="F22" i="17"/>
  <c r="J22" i="17"/>
  <c r="E22" i="17"/>
  <c r="I22" i="17"/>
  <c r="G22" i="17"/>
  <c r="H22" i="17"/>
  <c r="C22" i="17"/>
  <c r="E11" i="8"/>
  <c r="E10" i="8"/>
  <c r="E7" i="8"/>
  <c r="E9" i="8"/>
  <c r="E8" i="8"/>
  <c r="E11" i="17" l="1"/>
  <c r="E10" i="17"/>
  <c r="E8" i="17"/>
  <c r="E9" i="17"/>
  <c r="E18" i="17"/>
  <c r="E17" i="17"/>
  <c r="E19" i="17"/>
  <c r="E16" i="17"/>
  <c r="E20" i="17"/>
  <c r="F108" i="24" l="1"/>
  <c r="F109" i="24" s="1"/>
  <c r="G109" i="24" s="1"/>
  <c r="F78" i="24" l="1"/>
  <c r="F65" i="24"/>
  <c r="F12" i="24"/>
  <c r="G12" i="24" s="1"/>
  <c r="F52" i="24"/>
  <c r="F22" i="24"/>
  <c r="D11" i="13"/>
  <c r="F10" i="13" s="1"/>
  <c r="D11" i="9" s="1"/>
  <c r="G52" i="24" l="1"/>
  <c r="F53" i="24"/>
  <c r="G53" i="24" s="1"/>
  <c r="F13" i="24"/>
  <c r="G13" i="24" s="1"/>
  <c r="G65" i="24"/>
  <c r="F66" i="24"/>
  <c r="G66" i="24" s="1"/>
  <c r="E11" i="9"/>
  <c r="F11" i="13"/>
  <c r="F8" i="13"/>
  <c r="D9" i="9" s="1"/>
  <c r="F9" i="13"/>
  <c r="D10" i="9" s="1"/>
  <c r="F6" i="13"/>
  <c r="D7" i="9" s="1"/>
  <c r="F7" i="13"/>
  <c r="D8" i="9" s="1"/>
  <c r="F23" i="24"/>
  <c r="G23" i="24" s="1"/>
  <c r="G22" i="24"/>
  <c r="G78" i="24"/>
  <c r="F79" i="24"/>
  <c r="G79" i="24" s="1"/>
  <c r="E7" i="9" l="1"/>
  <c r="F20" i="17"/>
  <c r="E9" i="9"/>
  <c r="E10" i="9"/>
  <c r="E8" i="9"/>
  <c r="F19" i="17" l="1"/>
  <c r="F18" i="17"/>
  <c r="F17" i="17"/>
  <c r="F1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D18" authorId="0" shapeId="0" xr:uid="{FD338917-1A97-49E0-92B5-CEA0759D0428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Includes the following schedules (DR-LI CARE, DR-LI CARE &amp; MB, DM CARE, DM CARE &amp; MB, DS-CARE, DS CARE &amp; MB, DT CARE, DT CARE &amp; MB, DT-RV CARE, DT-RV CARE &amp; MB, DR-TOU CARE, DR-TOU CARRE &amp; MB, DR-SES CARE, DR-SES CARE &amp; MB, EV-TOU 2 CARE, EV-TOU-2 CARE &amp; MB)</t>
        </r>
      </text>
    </comment>
    <comment ref="E18" authorId="0" shapeId="0" xr:uid="{937D612C-6EF6-4E70-8DBC-D40C14BA944E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Includes the following schedules (DR-LI CARE, DR-LI CARE &amp; MB, DM CARE, DM CARE &amp; MB, DS-CARE, DS CARE &amp; MB, DT CARE, DT CARE &amp; MB, DT-RV CARE, DT-RV CARE &amp; MB, DR-TOU CARE, DR-TOU CARRE &amp; MB, DR-SES CARE, DR-SES CARE &amp; MB, EV-TOU 2 CARE, EV-TOU-2 CARE &amp; MB)</t>
        </r>
      </text>
    </comment>
    <comment ref="D19" authorId="0" shapeId="0" xr:uid="{636EB758-9D4F-4C5A-92DC-51B19001C574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Includes the following schedules (TOU-A3 ELI, TOU-M ELI)
</t>
        </r>
      </text>
    </comment>
    <comment ref="D20" authorId="0" shapeId="0" xr:uid="{14A8D543-615C-4F46-B2FE-6F04E2892831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Includes the following schedules (AL-TOU ELI, AL-TOU2 ELI)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F61" authorId="0" shapeId="0" xr:uid="{88D7E9C0-DB09-4E60-BC28-595D80CA1939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all M/L energy determinants except for AL-TOU substation/transmission, and all of A6-TOU
</t>
        </r>
      </text>
    </comment>
    <comment ref="F63" authorId="0" shapeId="0" xr:uid="{3ED72E9E-66F0-4501-871E-0AF93C5FCEF8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AL-TOU substation/transmission voltage levels
A6-TOU all voltage levels
</t>
        </r>
      </text>
    </comment>
    <comment ref="F74" authorId="0" shapeId="0" xr:uid="{61B47D41-CCC3-4E4F-A2CE-3384B73CE856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all M/L energy determinants except for AL-TOU substation/transmission, and all of A6-TOU
</t>
        </r>
      </text>
    </comment>
    <comment ref="F76" authorId="0" shapeId="0" xr:uid="{4728113F-2384-40E6-8A5A-49B734C7E9B4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AL-TOU substation/transmission voltage levels
A6-TOU all voltage levels
</t>
        </r>
      </text>
    </comment>
  </commentList>
</comments>
</file>

<file path=xl/sharedStrings.xml><?xml version="1.0" encoding="utf-8"?>
<sst xmlns="http://schemas.openxmlformats.org/spreadsheetml/2006/main" count="396" uniqueCount="120">
  <si>
    <t>LGC</t>
  </si>
  <si>
    <t>Commodity</t>
  </si>
  <si>
    <t>Residential</t>
  </si>
  <si>
    <t>Agriculture</t>
  </si>
  <si>
    <t>System</t>
  </si>
  <si>
    <t>Small Commercial</t>
  </si>
  <si>
    <t>Total</t>
  </si>
  <si>
    <t>Current (%)</t>
  </si>
  <si>
    <t>Updated (%)</t>
  </si>
  <si>
    <t>% Change from Current</t>
  </si>
  <si>
    <t>Small Comm</t>
  </si>
  <si>
    <t>M/L C&amp;I</t>
  </si>
  <si>
    <t>Streetlighting</t>
  </si>
  <si>
    <r>
      <t>Present ($000)</t>
    </r>
    <r>
      <rPr>
        <sz val="8"/>
        <color theme="1"/>
        <rFont val="Times New Roman"/>
        <family val="1"/>
      </rPr>
      <t> </t>
    </r>
  </si>
  <si>
    <r>
      <t>Uncapped  Updated Allocation ($000)</t>
    </r>
    <r>
      <rPr>
        <sz val="8"/>
        <color theme="1"/>
        <rFont val="Times New Roman"/>
        <family val="1"/>
      </rPr>
      <t> </t>
    </r>
  </si>
  <si>
    <t>Percentage Change (%)</t>
  </si>
  <si>
    <t>Agricultural</t>
  </si>
  <si>
    <t>Present ($000)</t>
  </si>
  <si>
    <t>Uncapped  Updated Allocation ($000)</t>
  </si>
  <si>
    <t xml:space="preserve">*EE Forecasted Spending by class, from Customer Programs </t>
  </si>
  <si>
    <t>*Class Average Sales</t>
  </si>
  <si>
    <t>*Non-CARE Sales (exclude streetlighting)</t>
  </si>
  <si>
    <t xml:space="preserve">Streetlighting </t>
  </si>
  <si>
    <t>*Non-Lighting Sales</t>
  </si>
  <si>
    <t>Current (%)*</t>
  </si>
  <si>
    <t>Small Comm***</t>
  </si>
  <si>
    <t>Updated %</t>
  </si>
  <si>
    <t>Non-Lighting %</t>
  </si>
  <si>
    <t>-</t>
  </si>
  <si>
    <t>Total System w/o Lighting</t>
  </si>
  <si>
    <t>Current TOU</t>
  </si>
  <si>
    <t>Updated (%)**</t>
  </si>
  <si>
    <t>Percentage Change (%/year)</t>
  </si>
  <si>
    <t>Allocation Year 1</t>
  </si>
  <si>
    <t>Allocation Year 2</t>
  </si>
  <si>
    <t>Allocation Year 3</t>
  </si>
  <si>
    <t>Proposed % Year 1</t>
  </si>
  <si>
    <t>Proposed (%) Year 2</t>
  </si>
  <si>
    <t>Proposed (%) Year 3</t>
  </si>
  <si>
    <t>% Change/year</t>
  </si>
  <si>
    <t>CARE</t>
  </si>
  <si>
    <t>ESAP</t>
  </si>
  <si>
    <t>EPIC</t>
  </si>
  <si>
    <t>Current Allocation</t>
  </si>
  <si>
    <t>Current Revenues</t>
  </si>
  <si>
    <t>Current Rate</t>
  </si>
  <si>
    <t>New Revenues</t>
  </si>
  <si>
    <t>EPEEBA</t>
  </si>
  <si>
    <t>EE</t>
  </si>
  <si>
    <t>Current Rev</t>
  </si>
  <si>
    <t>% of Total Rev</t>
  </si>
  <si>
    <t>Rev</t>
  </si>
  <si>
    <t>DR Allocation</t>
  </si>
  <si>
    <t>Updated Revenues</t>
  </si>
  <si>
    <t>SAN DIEGO GAS &amp; ELECTRIC COMPANY</t>
  </si>
  <si>
    <t>DESCRIPTION</t>
  </si>
  <si>
    <t>Description - This page</t>
  </si>
  <si>
    <t>Total PPP</t>
  </si>
  <si>
    <t>CTC</t>
  </si>
  <si>
    <t>Distribution 1 Year</t>
  </si>
  <si>
    <t>Distribution 3 Year</t>
  </si>
  <si>
    <t>Misc. Programs</t>
  </si>
  <si>
    <t>PPP - EPIC</t>
  </si>
  <si>
    <t>PPP - EE and EPEEBA</t>
  </si>
  <si>
    <t>PPP - CARE</t>
  </si>
  <si>
    <t>PPP - ESAP</t>
  </si>
  <si>
    <t>Sales %</t>
  </si>
  <si>
    <t>PPP Rates</t>
  </si>
  <si>
    <t>Distribution Allocation Update and Proposal - 1 Year</t>
  </si>
  <si>
    <t>Distribution Allocation Update and Proposal - 3 Years</t>
  </si>
  <si>
    <t>CTC Allocation Update and Proposal</t>
  </si>
  <si>
    <t xml:space="preserve">Total PPP Allocation Update </t>
  </si>
  <si>
    <t>PPP Allocation Update for EE and EPEEBA</t>
  </si>
  <si>
    <t xml:space="preserve">PPP Allocation Update for EPIC </t>
  </si>
  <si>
    <t>PPP Allocation Update for CARE</t>
  </si>
  <si>
    <t>PPP Allocation Update for ESAP</t>
  </si>
  <si>
    <t>LGC Allocation Update</t>
  </si>
  <si>
    <t>Updated PPP Revenue Calculations</t>
  </si>
  <si>
    <t>Allocation Inputs - Sales</t>
  </si>
  <si>
    <t>Current Authorized System Sales (2016 TY)</t>
  </si>
  <si>
    <t xml:space="preserve">REVENUE ALLOCATION WORKPAPERS - CHAPTER 2 </t>
  </si>
  <si>
    <t>REVENUE ALLOCATION WORKPAPERS - CHAPTER 2</t>
  </si>
  <si>
    <t>PPP - SGIP</t>
  </si>
  <si>
    <t>PPP Allocation Update for SGIP</t>
  </si>
  <si>
    <t>*SGIP based on completed 2015-2017 project incentive amounts</t>
  </si>
  <si>
    <t>SGIP</t>
  </si>
  <si>
    <t xml:space="preserve">                      Energy</t>
  </si>
  <si>
    <t xml:space="preserve">                      NCD</t>
  </si>
  <si>
    <t>Updated System Sales (2020 TY)</t>
  </si>
  <si>
    <t>CARE System Sales (2020 TY)</t>
  </si>
  <si>
    <t>Non-CARE Non-Lighting %</t>
  </si>
  <si>
    <t>Non-CARE System Sales without Lighting (2020 TY)</t>
  </si>
  <si>
    <t>CSI</t>
  </si>
  <si>
    <t>*CSI allocations do not have proposed updates</t>
  </si>
  <si>
    <t>M/L C&amp;I schedules AL-TOU, AL-TOU2 Substation and Transmission only; Schedule A6-TOU all voltage levels</t>
  </si>
  <si>
    <t>M/L C&amp;I schedules AL-TOU, AL-TOU2 Secondary and Primary only; Schedules DG-R, OL-TOU, VGI all voltage levels</t>
  </si>
  <si>
    <t xml:space="preserve">M/L C&amp;I </t>
  </si>
  <si>
    <t>FERA</t>
  </si>
  <si>
    <t>Food Bank</t>
  </si>
  <si>
    <t>All data in this workbook tab labeled “System” represent sales to all retail customers and is protected by section V.E. of the IOU Confidentiality Matrix, adopted as Appendix 1 of CPUC Decision D.06-06-066. Confidential Pursuant to PU Code Section 583, General Order 66-D and D.06-06-066</t>
  </si>
  <si>
    <t>All data in this workbook tab labeled “System” represent sales to all retail customers and is protected by section V.E. of the IOU Confidentiality Matrix, adopted as Appendix 1 of CPUC Decision D.06-06-066.  Confidential Pursuant to PU Code Section 583, General Order 66-D and D.06-06-066</t>
  </si>
  <si>
    <t>PPP - FERA</t>
  </si>
  <si>
    <t>PPP Allocation Update for FERA</t>
  </si>
  <si>
    <t>PPP - CSI</t>
  </si>
  <si>
    <t>PPP Allocation Update for CSI</t>
  </si>
  <si>
    <t>PPP - Food Bank</t>
  </si>
  <si>
    <t>PPP Allocation Update for Food Bank</t>
  </si>
  <si>
    <t xml:space="preserve">Commodity Allocation Update and Proposal </t>
  </si>
  <si>
    <t>Allocations for Demand Response</t>
  </si>
  <si>
    <t>FERA System Sales (2020 TY)</t>
  </si>
  <si>
    <t>Schools</t>
  </si>
  <si>
    <t xml:space="preserve">Schools </t>
  </si>
  <si>
    <t xml:space="preserve">*Current and Updated 12-CP% taken from TO4 Cycle 3 BTRR Filing </t>
  </si>
  <si>
    <t>TMNB</t>
  </si>
  <si>
    <t>*Current (%), reflects 12-month coincident peak demand basis currently used in rates. TMNB is not in current effective rates, but will be included in 1/1/2020 effective rates.</t>
  </si>
  <si>
    <t>**
Pursuant to D.18-12-003, TMNB is being collected in PPP rates. Allocations are based on using the then-current 12-month coincident peak demand basis for revenue allocation that is used for the cost allocation mechanism (CAM).</t>
  </si>
  <si>
    <t>PPP - TMNB</t>
  </si>
  <si>
    <t>PPP Allocation Update for TMNB</t>
  </si>
  <si>
    <r>
      <t>TEST YEAR 2019 GENERAL RATE CASE PHASE 2, APPLICATION</t>
    </r>
    <r>
      <rPr>
        <b/>
        <sz val="11"/>
        <color rgb="FFFF0000"/>
        <rFont val="Calibri"/>
        <family val="2"/>
        <scheme val="minor"/>
      </rPr>
      <t xml:space="preserve"> 19-03-002</t>
    </r>
  </si>
  <si>
    <t>TEST YEAR 2019 GENERAL RATE CASE PHASE 2, APPLICATION 19-03-002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</si>
</sst>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%"/>
    <numFmt numFmtId="166" formatCode="&quot;$&quot;#,##0.00000_);[Red]\(&quot;$&quot;#,##0.00000\)"/>
    <numFmt numFmtId="167" formatCode="_(* #,##0_);_(* \(#,##0\);_(* &quot;-&quot;??_);_(@_)"/>
    <numFmt numFmtId="168" formatCode="_(&quot;$&quot;* #,##0_);_(&quot;$&quot;* \(#,##0\);_(&quot;$&quot;* &quot;-&quot;??_);_(@_)"/>
    <numFmt numFmtId="169" formatCode="#,#00,"/>
    <numFmt numFmtId="170" formatCode="0.000%"/>
    <numFmt numFmtId="171" formatCode="0.00000000000000%"/>
    <numFmt numFmtId="172" formatCode="0.000000000000000%"/>
  </numFmts>
  <fonts count="41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7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System"/>
      <family val="2"/>
    </font>
    <font>
      <i/>
      <sz val="11"/>
      <name val="Calibri"/>
      <family val="2"/>
      <scheme val="minor"/>
    </font>
    <font>
      <b/>
      <sz val="8"/>
      <name val="Arial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u/>
      <sz val="8"/>
      <name val="Arial"/>
      <family val="2"/>
    </font>
    <font>
      <b/>
      <sz val="11"/>
      <color rgb="FFFF0000"/>
      <name val="Calibri"/>
      <family val="2"/>
      <scheme val="minor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6">
    <xf numFmtId="164" fontId="0" fillId="0" borderId="0"/>
    <xf numFmtId="4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1" fillId="0" borderId="0"/>
    <xf numFmtId="164" fontId="15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0" fontId="14" fillId="0" borderId="0" applyFont="0" applyFill="0" applyBorder="0" applyAlignment="0" applyProtection="0"/>
    <xf numFmtId="8" fontId="14" fillId="0" borderId="0" applyFont="0" applyFill="0" applyBorder="0" applyAlignment="0" applyProtection="0"/>
    <xf numFmtId="44" fontId="16" fillId="0" borderId="0" applyFont="0" applyFill="0" applyBorder="0" applyAlignment="0" applyProtection="0"/>
    <xf numFmtId="8" fontId="14" fillId="0" borderId="0" applyFont="0" applyFill="0" applyBorder="0" applyAlignment="0" applyProtection="0"/>
    <xf numFmtId="164" fontId="11" fillId="0" borderId="0"/>
    <xf numFmtId="0" fontId="13" fillId="0" borderId="0"/>
    <xf numFmtId="0" fontId="13" fillId="0" borderId="0"/>
    <xf numFmtId="164" fontId="11" fillId="0" borderId="0"/>
    <xf numFmtId="0" fontId="13" fillId="0" borderId="0"/>
    <xf numFmtId="0" fontId="13" fillId="0" borderId="0"/>
    <xf numFmtId="0" fontId="13" fillId="0" borderId="0"/>
    <xf numFmtId="164" fontId="11" fillId="0" borderId="0"/>
    <xf numFmtId="0" fontId="13" fillId="0" borderId="0"/>
    <xf numFmtId="164" fontId="11" fillId="0" borderId="0"/>
    <xf numFmtId="164" fontId="11" fillId="0" borderId="0"/>
    <xf numFmtId="0" fontId="13" fillId="0" borderId="0"/>
    <xf numFmtId="0" fontId="13" fillId="0" borderId="0"/>
    <xf numFmtId="0" fontId="10" fillId="0" borderId="0"/>
    <xf numFmtId="164" fontId="1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 applyNumberFormat="0" applyFont="0" applyBorder="0" applyAlignment="0" applyProtection="0"/>
    <xf numFmtId="0" fontId="18" fillId="0" borderId="0" applyNumberFormat="0" applyFill="0" applyBorder="0" applyAlignment="0" applyProtection="0"/>
    <xf numFmtId="0" fontId="12" fillId="3" borderId="0" applyNumberFormat="0" applyBorder="0" applyProtection="0">
      <alignment wrapText="1"/>
    </xf>
    <xf numFmtId="0" fontId="12" fillId="0" borderId="0" applyNumberFormat="0" applyFill="0" applyBorder="0" applyProtection="0">
      <alignment wrapText="1"/>
    </xf>
    <xf numFmtId="0" fontId="11" fillId="0" borderId="0" applyNumberFormat="0" applyFill="0" applyBorder="0" applyProtection="0">
      <alignment vertical="top" wrapText="1"/>
    </xf>
    <xf numFmtId="0" fontId="19" fillId="0" borderId="0" applyNumberFormat="0" applyFill="0" applyBorder="0" applyAlignment="0" applyProtection="0"/>
    <xf numFmtId="0" fontId="13" fillId="0" borderId="2" applyNumberFormat="0" applyFont="0" applyFill="0" applyAlignment="0" applyProtection="0"/>
    <xf numFmtId="0" fontId="13" fillId="0" borderId="3" applyNumberFormat="0" applyFont="0" applyFill="0" applyAlignment="0" applyProtection="0"/>
    <xf numFmtId="0" fontId="13" fillId="0" borderId="4" applyNumberFormat="0" applyFont="0" applyFill="0" applyAlignment="0" applyProtection="0"/>
    <xf numFmtId="0" fontId="20" fillId="4" borderId="5" applyNumberFormat="0" applyAlignment="0" applyProtection="0"/>
    <xf numFmtId="0" fontId="20" fillId="5" borderId="6" applyNumberFormat="0" applyAlignment="0" applyProtection="0"/>
    <xf numFmtId="0" fontId="13" fillId="6" borderId="7" applyNumberFormat="0" applyFont="0" applyAlignment="0" applyProtection="0"/>
    <xf numFmtId="0" fontId="13" fillId="7" borderId="8" applyNumberFormat="0" applyFont="0" applyAlignment="0" applyProtection="0"/>
    <xf numFmtId="0" fontId="13" fillId="8" borderId="9" applyNumberFormat="0" applyFont="0" applyAlignment="0" applyProtection="0"/>
    <xf numFmtId="0" fontId="13" fillId="9" borderId="10" applyNumberFormat="0" applyFont="0" applyAlignment="0" applyProtection="0"/>
    <xf numFmtId="0" fontId="13" fillId="2" borderId="0" applyNumberFormat="0" applyFon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3" fillId="0" borderId="0" applyNumberFormat="0" applyFont="0" applyBorder="0" applyAlignment="0" applyProtection="0"/>
    <xf numFmtId="9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11" fillId="0" borderId="0"/>
    <xf numFmtId="164" fontId="11" fillId="0" borderId="0"/>
    <xf numFmtId="43" fontId="9" fillId="0" borderId="0" applyFont="0" applyFill="0" applyBorder="0" applyAlignment="0" applyProtection="0"/>
    <xf numFmtId="0" fontId="32" fillId="0" borderId="0"/>
    <xf numFmtId="4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1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13">
    <xf numFmtId="164" fontId="0" fillId="0" borderId="0" xfId="0"/>
    <xf numFmtId="38" fontId="23" fillId="0" borderId="0" xfId="63" applyNumberFormat="1" applyBorder="1"/>
    <xf numFmtId="166" fontId="23" fillId="0" borderId="0" xfId="63" applyNumberFormat="1" applyBorder="1" applyAlignment="1">
      <alignment horizontal="right"/>
    </xf>
    <xf numFmtId="0" fontId="9" fillId="0" borderId="0" xfId="68"/>
    <xf numFmtId="0" fontId="26" fillId="0" borderId="0" xfId="68" applyFont="1"/>
    <xf numFmtId="10" fontId="0" fillId="0" borderId="0" xfId="69" applyNumberFormat="1" applyFont="1"/>
    <xf numFmtId="10" fontId="9" fillId="0" borderId="0" xfId="68" applyNumberFormat="1"/>
    <xf numFmtId="165" fontId="9" fillId="0" borderId="0" xfId="68" applyNumberFormat="1"/>
    <xf numFmtId="0" fontId="27" fillId="0" borderId="12" xfId="68" applyFont="1" applyBorder="1" applyAlignment="1">
      <alignment horizontal="center" vertical="center" wrapText="1"/>
    </xf>
    <xf numFmtId="0" fontId="27" fillId="0" borderId="13" xfId="68" applyFont="1" applyBorder="1" applyAlignment="1">
      <alignment horizontal="center" vertical="center" wrapText="1"/>
    </xf>
    <xf numFmtId="0" fontId="27" fillId="0" borderId="14" xfId="68" applyFont="1" applyBorder="1" applyAlignment="1">
      <alignment vertical="center" wrapText="1"/>
    </xf>
    <xf numFmtId="0" fontId="28" fillId="0" borderId="0" xfId="68" applyFont="1" applyAlignment="1">
      <alignment vertical="center"/>
    </xf>
    <xf numFmtId="0" fontId="29" fillId="0" borderId="0" xfId="68" applyFont="1"/>
    <xf numFmtId="0" fontId="26" fillId="0" borderId="0" xfId="68" applyFont="1" applyFill="1" applyBorder="1"/>
    <xf numFmtId="3" fontId="27" fillId="0" borderId="1" xfId="68" applyNumberFormat="1" applyFont="1" applyBorder="1" applyAlignment="1">
      <alignment horizontal="center" vertical="center" wrapText="1"/>
    </xf>
    <xf numFmtId="0" fontId="26" fillId="0" borderId="0" xfId="68" applyFont="1" applyFill="1"/>
    <xf numFmtId="165" fontId="0" fillId="0" borderId="0" xfId="69" applyNumberFormat="1" applyFont="1"/>
    <xf numFmtId="167" fontId="0" fillId="0" borderId="0" xfId="72" applyNumberFormat="1" applyFont="1"/>
    <xf numFmtId="0" fontId="9" fillId="0" borderId="0" xfId="68" applyFont="1"/>
    <xf numFmtId="0" fontId="29" fillId="0" borderId="0" xfId="68" applyFont="1" applyFill="1"/>
    <xf numFmtId="10" fontId="26" fillId="0" borderId="0" xfId="68" applyNumberFormat="1" applyFont="1"/>
    <xf numFmtId="0" fontId="9" fillId="0" borderId="0" xfId="68" applyFill="1"/>
    <xf numFmtId="0" fontId="30" fillId="0" borderId="0" xfId="68" applyFont="1" applyFill="1"/>
    <xf numFmtId="0" fontId="31" fillId="0" borderId="0" xfId="68" applyFont="1" applyFill="1"/>
    <xf numFmtId="3" fontId="30" fillId="0" borderId="0" xfId="73" applyNumberFormat="1" applyFont="1" applyFill="1" applyAlignment="1">
      <alignment horizontal="right"/>
    </xf>
    <xf numFmtId="10" fontId="0" fillId="0" borderId="0" xfId="69" applyNumberFormat="1" applyFont="1" applyAlignment="1">
      <alignment horizontal="center"/>
    </xf>
    <xf numFmtId="0" fontId="31" fillId="0" borderId="0" xfId="73" applyFont="1" applyFill="1"/>
    <xf numFmtId="3" fontId="30" fillId="0" borderId="0" xfId="68" applyNumberFormat="1" applyFont="1" applyFill="1"/>
    <xf numFmtId="0" fontId="33" fillId="0" borderId="0" xfId="73" applyFont="1" applyFill="1"/>
    <xf numFmtId="0" fontId="33" fillId="0" borderId="0" xfId="68" applyFont="1" applyFill="1"/>
    <xf numFmtId="10" fontId="0" fillId="0" borderId="0" xfId="2" applyNumberFormat="1" applyFont="1"/>
    <xf numFmtId="0" fontId="36" fillId="0" borderId="0" xfId="68" applyFont="1"/>
    <xf numFmtId="10" fontId="27" fillId="0" borderId="1" xfId="2" applyNumberFormat="1" applyFont="1" applyBorder="1" applyAlignment="1">
      <alignment horizontal="center" vertical="center" wrapText="1"/>
    </xf>
    <xf numFmtId="0" fontId="8" fillId="0" borderId="0" xfId="68" applyFont="1"/>
    <xf numFmtId="10" fontId="8" fillId="0" borderId="0" xfId="68" applyNumberFormat="1" applyFont="1"/>
    <xf numFmtId="165" fontId="8" fillId="0" borderId="0" xfId="68" applyNumberFormat="1" applyFont="1"/>
    <xf numFmtId="10" fontId="30" fillId="0" borderId="0" xfId="69" applyNumberFormat="1" applyFont="1"/>
    <xf numFmtId="10" fontId="30" fillId="0" borderId="0" xfId="69" applyNumberFormat="1" applyFont="1" applyFill="1"/>
    <xf numFmtId="38" fontId="9" fillId="0" borderId="0" xfId="1" applyNumberFormat="1" applyFont="1"/>
    <xf numFmtId="10" fontId="9" fillId="0" borderId="0" xfId="2" applyNumberFormat="1" applyFont="1"/>
    <xf numFmtId="0" fontId="7" fillId="0" borderId="0" xfId="68" applyFont="1"/>
    <xf numFmtId="164" fontId="34" fillId="0" borderId="0" xfId="0" applyFont="1"/>
    <xf numFmtId="0" fontId="26" fillId="0" borderId="0" xfId="68" applyFont="1" applyAlignment="1">
      <alignment horizontal="center"/>
    </xf>
    <xf numFmtId="0" fontId="5" fillId="0" borderId="0" xfId="68" applyFont="1"/>
    <xf numFmtId="164" fontId="37" fillId="10" borderId="12" xfId="3" applyFont="1" applyFill="1" applyBorder="1" applyAlignment="1">
      <alignment horizontal="center" wrapText="1"/>
    </xf>
    <xf numFmtId="3" fontId="30" fillId="10" borderId="0" xfId="73" applyNumberFormat="1" applyFont="1" applyFill="1" applyAlignment="1">
      <alignment horizontal="right"/>
    </xf>
    <xf numFmtId="10" fontId="0" fillId="10" borderId="0" xfId="69" applyNumberFormat="1" applyFont="1" applyFill="1" applyAlignment="1">
      <alignment horizontal="center"/>
    </xf>
    <xf numFmtId="3" fontId="9" fillId="10" borderId="0" xfId="68" applyNumberFormat="1" applyFill="1"/>
    <xf numFmtId="3" fontId="30" fillId="10" borderId="0" xfId="68" applyNumberFormat="1" applyFont="1" applyFill="1"/>
    <xf numFmtId="3" fontId="30" fillId="10" borderId="0" xfId="68" applyNumberFormat="1" applyFont="1" applyFill="1" applyAlignment="1">
      <alignment horizontal="center"/>
    </xf>
    <xf numFmtId="0" fontId="31" fillId="0" borderId="0" xfId="68" applyFont="1" applyFill="1" applyAlignment="1">
      <alignment horizontal="center" wrapText="1"/>
    </xf>
    <xf numFmtId="0" fontId="26" fillId="0" borderId="0" xfId="68" applyFont="1" applyAlignment="1">
      <alignment horizontal="center" wrapText="1"/>
    </xf>
    <xf numFmtId="1" fontId="12" fillId="0" borderId="0" xfId="79" applyNumberFormat="1" applyFont="1" applyAlignment="1">
      <alignment horizontal="center"/>
    </xf>
    <xf numFmtId="0" fontId="12" fillId="0" borderId="0" xfId="79" applyFont="1"/>
    <xf numFmtId="0" fontId="12" fillId="0" borderId="0" xfId="79" applyFont="1" applyAlignment="1">
      <alignment wrapText="1"/>
    </xf>
    <xf numFmtId="0" fontId="12" fillId="0" borderId="0" xfId="79" applyFont="1" applyFill="1"/>
    <xf numFmtId="169" fontId="9" fillId="0" borderId="0" xfId="68" applyNumberFormat="1"/>
    <xf numFmtId="0" fontId="26" fillId="0" borderId="0" xfId="68" applyFont="1" applyAlignment="1">
      <alignment horizontal="center"/>
    </xf>
    <xf numFmtId="164" fontId="34" fillId="0" borderId="0" xfId="0" applyFont="1" applyAlignment="1">
      <alignment horizontal="center"/>
    </xf>
    <xf numFmtId="0" fontId="26" fillId="0" borderId="0" xfId="68" applyFont="1" applyAlignment="1"/>
    <xf numFmtId="0" fontId="9" fillId="0" borderId="0" xfId="68" applyAlignment="1"/>
    <xf numFmtId="0" fontId="26" fillId="0" borderId="0" xfId="90" applyFont="1" applyFill="1"/>
    <xf numFmtId="10" fontId="30" fillId="0" borderId="0" xfId="91" applyNumberFormat="1" applyFont="1" applyFill="1"/>
    <xf numFmtId="10" fontId="2" fillId="0" borderId="0" xfId="68" applyNumberFormat="1" applyFont="1"/>
    <xf numFmtId="164" fontId="34" fillId="10" borderId="0" xfId="0" applyFont="1" applyFill="1"/>
    <xf numFmtId="170" fontId="0" fillId="0" borderId="0" xfId="2" applyNumberFormat="1" applyFont="1"/>
    <xf numFmtId="167" fontId="0" fillId="0" borderId="0" xfId="72" applyNumberFormat="1" applyFont="1" applyFill="1"/>
    <xf numFmtId="38" fontId="30" fillId="10" borderId="0" xfId="73" applyNumberFormat="1" applyFont="1" applyFill="1" applyAlignment="1">
      <alignment horizontal="right"/>
    </xf>
    <xf numFmtId="10" fontId="1" fillId="0" borderId="0" xfId="68" applyNumberFormat="1" applyFont="1"/>
    <xf numFmtId="0" fontId="26" fillId="0" borderId="0" xfId="68" applyFont="1" applyAlignment="1">
      <alignment wrapText="1"/>
    </xf>
    <xf numFmtId="10" fontId="0" fillId="0" borderId="0" xfId="69" applyNumberFormat="1" applyFont="1" applyFill="1"/>
    <xf numFmtId="38" fontId="9" fillId="0" borderId="0" xfId="68" applyNumberFormat="1" applyFill="1"/>
    <xf numFmtId="38" fontId="9" fillId="0" borderId="0" xfId="1" applyNumberFormat="1" applyFont="1" applyFill="1"/>
    <xf numFmtId="0" fontId="1" fillId="0" borderId="0" xfId="68" applyFont="1"/>
    <xf numFmtId="40" fontId="0" fillId="0" borderId="0" xfId="1" applyFont="1"/>
    <xf numFmtId="0" fontId="23" fillId="0" borderId="0" xfId="63" applyNumberFormat="1" applyBorder="1"/>
    <xf numFmtId="164" fontId="34" fillId="0" borderId="0" xfId="0" applyFont="1" applyFill="1"/>
    <xf numFmtId="164" fontId="0" fillId="0" borderId="0" xfId="0" applyFill="1"/>
    <xf numFmtId="38" fontId="23" fillId="0" borderId="0" xfId="63" applyNumberFormat="1" applyFill="1" applyBorder="1"/>
    <xf numFmtId="10" fontId="0" fillId="0" borderId="0" xfId="2" applyNumberFormat="1" applyFont="1" applyFill="1"/>
    <xf numFmtId="0" fontId="8" fillId="0" borderId="0" xfId="68" applyFont="1" applyFill="1"/>
    <xf numFmtId="10" fontId="8" fillId="0" borderId="0" xfId="68" applyNumberFormat="1" applyFont="1" applyFill="1"/>
    <xf numFmtId="171" fontId="9" fillId="0" borderId="0" xfId="68" applyNumberFormat="1"/>
    <xf numFmtId="9" fontId="26" fillId="0" borderId="0" xfId="90" applyNumberFormat="1" applyFont="1" applyFill="1"/>
    <xf numFmtId="0" fontId="26" fillId="0" borderId="0" xfId="68" applyFont="1" applyFill="1" applyAlignment="1">
      <alignment wrapText="1"/>
    </xf>
    <xf numFmtId="3" fontId="9" fillId="0" borderId="0" xfId="68" applyNumberFormat="1" applyFill="1"/>
    <xf numFmtId="10" fontId="9" fillId="0" borderId="0" xfId="2" applyNumberFormat="1" applyFont="1" applyFill="1"/>
    <xf numFmtId="0" fontId="9" fillId="0" borderId="0" xfId="68" applyFill="1" applyBorder="1"/>
    <xf numFmtId="0" fontId="36" fillId="0" borderId="0" xfId="68" applyFont="1" applyFill="1" applyBorder="1"/>
    <xf numFmtId="0" fontId="8" fillId="0" borderId="0" xfId="68" applyFont="1" applyFill="1" applyBorder="1"/>
    <xf numFmtId="10" fontId="30" fillId="0" borderId="0" xfId="69" applyNumberFormat="1" applyFont="1" applyFill="1" applyBorder="1"/>
    <xf numFmtId="10" fontId="8" fillId="0" borderId="0" xfId="68" applyNumberFormat="1" applyFont="1" applyFill="1" applyBorder="1"/>
    <xf numFmtId="10" fontId="0" fillId="0" borderId="0" xfId="69" applyNumberFormat="1" applyFont="1" applyFill="1" applyBorder="1"/>
    <xf numFmtId="0" fontId="27" fillId="0" borderId="0" xfId="68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3" fontId="27" fillId="0" borderId="0" xfId="68" applyNumberFormat="1" applyFont="1" applyFill="1" applyBorder="1" applyAlignment="1">
      <alignment horizontal="center" vertical="center" wrapText="1"/>
    </xf>
    <xf numFmtId="10" fontId="27" fillId="0" borderId="0" xfId="2" applyNumberFormat="1" applyFont="1" applyFill="1" applyBorder="1" applyAlignment="1">
      <alignment horizontal="center" vertical="center" wrapText="1"/>
    </xf>
    <xf numFmtId="9" fontId="30" fillId="0" borderId="0" xfId="91" applyNumberFormat="1" applyFont="1" applyFill="1"/>
    <xf numFmtId="9" fontId="0" fillId="0" borderId="0" xfId="0" applyNumberFormat="1" applyFill="1"/>
    <xf numFmtId="164" fontId="38" fillId="0" borderId="0" xfId="0" applyFont="1" applyFill="1" applyAlignment="1"/>
    <xf numFmtId="164" fontId="0" fillId="0" borderId="0" xfId="0" applyFill="1" applyAlignment="1"/>
    <xf numFmtId="172" fontId="9" fillId="0" borderId="0" xfId="68" applyNumberFormat="1"/>
    <xf numFmtId="38" fontId="0" fillId="0" borderId="0" xfId="1" applyNumberFormat="1" applyFont="1" applyFill="1"/>
    <xf numFmtId="166" fontId="23" fillId="0" borderId="0" xfId="63" applyNumberFormat="1" applyFill="1" applyBorder="1" applyAlignment="1">
      <alignment horizontal="right"/>
    </xf>
    <xf numFmtId="164" fontId="40" fillId="0" borderId="0" xfId="0" applyFont="1"/>
    <xf numFmtId="38" fontId="27" fillId="0" borderId="1" xfId="1" applyNumberFormat="1" applyFont="1" applyBorder="1" applyAlignment="1">
      <alignment horizontal="center" vertical="center" wrapText="1"/>
    </xf>
    <xf numFmtId="9" fontId="9" fillId="0" borderId="0" xfId="2" applyFont="1"/>
    <xf numFmtId="0" fontId="29" fillId="0" borderId="0" xfId="68" applyFont="1" applyAlignment="1"/>
    <xf numFmtId="0" fontId="26" fillId="0" borderId="0" xfId="68" applyFont="1" applyAlignment="1">
      <alignment horizontal="center"/>
    </xf>
    <xf numFmtId="0" fontId="26" fillId="0" borderId="0" xfId="68" applyFont="1" applyAlignment="1"/>
    <xf numFmtId="164" fontId="34" fillId="0" borderId="0" xfId="0" applyFont="1" applyAlignment="1">
      <alignment horizontal="center"/>
    </xf>
    <xf numFmtId="164" fontId="34" fillId="0" borderId="0" xfId="0" applyFont="1" applyAlignment="1"/>
    <xf numFmtId="168" fontId="30" fillId="0" borderId="0" xfId="67" applyNumberFormat="1" applyFont="1" applyFill="1"/>
  </cellXfs>
  <cellStyles count="96">
    <cellStyle name="ariel" xfId="4" xr:uid="{00000000-0005-0000-0000-000000000000}"/>
    <cellStyle name="Comma" xfId="1" builtinId="3"/>
    <cellStyle name="Comma 2" xfId="5" xr:uid="{00000000-0005-0000-0000-000002000000}"/>
    <cellStyle name="Comma 2 2" xfId="6" xr:uid="{00000000-0005-0000-0000-000003000000}"/>
    <cellStyle name="Comma 2 3" xfId="62" xr:uid="{00000000-0005-0000-0000-000004000000}"/>
    <cellStyle name="Comma 3" xfId="7" xr:uid="{00000000-0005-0000-0000-000005000000}"/>
    <cellStyle name="Comma 3 2" xfId="8" xr:uid="{00000000-0005-0000-0000-000006000000}"/>
    <cellStyle name="Comma 3 3" xfId="75" xr:uid="{00000000-0005-0000-0000-000007000000}"/>
    <cellStyle name="Comma 4" xfId="9" xr:uid="{00000000-0005-0000-0000-000008000000}"/>
    <cellStyle name="Comma 5" xfId="10" xr:uid="{00000000-0005-0000-0000-000009000000}"/>
    <cellStyle name="Comma 6" xfId="65" xr:uid="{00000000-0005-0000-0000-00000A000000}"/>
    <cellStyle name="Comma 6 2" xfId="88" xr:uid="{00000000-0005-0000-0000-00000B000000}"/>
    <cellStyle name="Comma 7" xfId="72" xr:uid="{00000000-0005-0000-0000-00000C000000}"/>
    <cellStyle name="Comma 7 2" xfId="92" xr:uid="{00000000-0005-0000-0000-00000D000000}"/>
    <cellStyle name="Currency" xfId="67" builtinId="4"/>
    <cellStyle name="Currency 12" xfId="74" xr:uid="{00000000-0005-0000-0000-00000F000000}"/>
    <cellStyle name="Currency 2" xfId="11" xr:uid="{00000000-0005-0000-0000-000010000000}"/>
    <cellStyle name="Currency 3" xfId="12" xr:uid="{00000000-0005-0000-0000-000011000000}"/>
    <cellStyle name="Currency 4" xfId="13" xr:uid="{00000000-0005-0000-0000-000012000000}"/>
    <cellStyle name="Currency 5" xfId="66" xr:uid="{00000000-0005-0000-0000-000013000000}"/>
    <cellStyle name="Currency 5 2" xfId="89" xr:uid="{00000000-0005-0000-0000-000014000000}"/>
    <cellStyle name="Normal" xfId="0" builtinId="0"/>
    <cellStyle name="Normal 10" xfId="14" xr:uid="{00000000-0005-0000-0000-000016000000}"/>
    <cellStyle name="Normal 10 2" xfId="70" xr:uid="{00000000-0005-0000-0000-000017000000}"/>
    <cellStyle name="Normal 11" xfId="63" xr:uid="{00000000-0005-0000-0000-000018000000}"/>
    <cellStyle name="Normal 11 2" xfId="86" xr:uid="{00000000-0005-0000-0000-000019000000}"/>
    <cellStyle name="Normal 12" xfId="68" xr:uid="{00000000-0005-0000-0000-00001A000000}"/>
    <cellStyle name="Normal 12 2" xfId="76" xr:uid="{00000000-0005-0000-0000-00001B000000}"/>
    <cellStyle name="Normal 12 2 2" xfId="93" xr:uid="{00000000-0005-0000-0000-00001C000000}"/>
    <cellStyle name="Normal 12 3" xfId="90" xr:uid="{00000000-0005-0000-0000-00001D000000}"/>
    <cellStyle name="Normal 13" xfId="77" xr:uid="{00000000-0005-0000-0000-00001E000000}"/>
    <cellStyle name="Normal 13 2" xfId="94" xr:uid="{00000000-0005-0000-0000-00001F000000}"/>
    <cellStyle name="Normal 2" xfId="15" xr:uid="{00000000-0005-0000-0000-000020000000}"/>
    <cellStyle name="Normal 2 2" xfId="16" xr:uid="{00000000-0005-0000-0000-000021000000}"/>
    <cellStyle name="Normal 2 3" xfId="17" xr:uid="{00000000-0005-0000-0000-000022000000}"/>
    <cellStyle name="Normal 2 3 2" xfId="73" xr:uid="{00000000-0005-0000-0000-000023000000}"/>
    <cellStyle name="Normal 2_Book1" xfId="18" xr:uid="{00000000-0005-0000-0000-000024000000}"/>
    <cellStyle name="Normal 3" xfId="19" xr:uid="{00000000-0005-0000-0000-000025000000}"/>
    <cellStyle name="Normal 3 2" xfId="20" xr:uid="{00000000-0005-0000-0000-000026000000}"/>
    <cellStyle name="Normal 4" xfId="21" xr:uid="{00000000-0005-0000-0000-000027000000}"/>
    <cellStyle name="Normal 5" xfId="22" xr:uid="{00000000-0005-0000-0000-000028000000}"/>
    <cellStyle name="Normal 6" xfId="23" xr:uid="{00000000-0005-0000-0000-000029000000}"/>
    <cellStyle name="Normal 6 2" xfId="24" xr:uid="{00000000-0005-0000-0000-00002A000000}"/>
    <cellStyle name="Normal 7" xfId="25" xr:uid="{00000000-0005-0000-0000-00002B000000}"/>
    <cellStyle name="Normal 7 2" xfId="26" xr:uid="{00000000-0005-0000-0000-00002C000000}"/>
    <cellStyle name="Normal 8" xfId="27" xr:uid="{00000000-0005-0000-0000-00002D000000}"/>
    <cellStyle name="Normal 8 2" xfId="80" xr:uid="{00000000-0005-0000-0000-00002E000000}"/>
    <cellStyle name="Normal 8 2 2" xfId="71" xr:uid="{00000000-0005-0000-0000-00002F000000}"/>
    <cellStyle name="Normal 9" xfId="28" xr:uid="{00000000-0005-0000-0000-000030000000}"/>
    <cellStyle name="Normal_Lighting Model GRC Phase 2 Workpapers" xfId="79" xr:uid="{00000000-0005-0000-0000-000031000000}"/>
    <cellStyle name="Normal_RD-WP(Combined 1-01-01 filing)" xfId="3" xr:uid="{00000000-0005-0000-0000-000032000000}"/>
    <cellStyle name="Percent" xfId="2" builtinId="5"/>
    <cellStyle name="Percent 10" xfId="78" xr:uid="{00000000-0005-0000-0000-000034000000}"/>
    <cellStyle name="Percent 10 2" xfId="95" xr:uid="{00000000-0005-0000-0000-000035000000}"/>
    <cellStyle name="Percent 2" xfId="29" xr:uid="{00000000-0005-0000-0000-000036000000}"/>
    <cellStyle name="Percent 2 2" xfId="30" xr:uid="{00000000-0005-0000-0000-000037000000}"/>
    <cellStyle name="Percent 2 3" xfId="61" xr:uid="{00000000-0005-0000-0000-000038000000}"/>
    <cellStyle name="Percent 3" xfId="31" xr:uid="{00000000-0005-0000-0000-000039000000}"/>
    <cellStyle name="Percent 3 2" xfId="32" xr:uid="{00000000-0005-0000-0000-00003A000000}"/>
    <cellStyle name="Percent 4" xfId="33" xr:uid="{00000000-0005-0000-0000-00003B000000}"/>
    <cellStyle name="Percent 5" xfId="34" xr:uid="{00000000-0005-0000-0000-00003C000000}"/>
    <cellStyle name="Percent 6" xfId="35" xr:uid="{00000000-0005-0000-0000-00003D000000}"/>
    <cellStyle name="Percent 6 2" xfId="36" xr:uid="{00000000-0005-0000-0000-00003E000000}"/>
    <cellStyle name="Percent 6 2 2" xfId="37" xr:uid="{00000000-0005-0000-0000-00003F000000}"/>
    <cellStyle name="Percent 6 2 2 2" xfId="83" xr:uid="{00000000-0005-0000-0000-000040000000}"/>
    <cellStyle name="Percent 6 2 3" xfId="82" xr:uid="{00000000-0005-0000-0000-000041000000}"/>
    <cellStyle name="Percent 6 3" xfId="38" xr:uid="{00000000-0005-0000-0000-000042000000}"/>
    <cellStyle name="Percent 6 3 2" xfId="84" xr:uid="{00000000-0005-0000-0000-000043000000}"/>
    <cellStyle name="Percent 6 4" xfId="81" xr:uid="{00000000-0005-0000-0000-000044000000}"/>
    <cellStyle name="Percent 7" xfId="39" xr:uid="{00000000-0005-0000-0000-000045000000}"/>
    <cellStyle name="Percent 7 2" xfId="40" xr:uid="{00000000-0005-0000-0000-000046000000}"/>
    <cellStyle name="Percent 7 3" xfId="85" xr:uid="{00000000-0005-0000-0000-000047000000}"/>
    <cellStyle name="Percent 8" xfId="64" xr:uid="{00000000-0005-0000-0000-000048000000}"/>
    <cellStyle name="Percent 8 2" xfId="87" xr:uid="{00000000-0005-0000-0000-000049000000}"/>
    <cellStyle name="Percent 9" xfId="69" xr:uid="{00000000-0005-0000-0000-00004A000000}"/>
    <cellStyle name="Percent 9 2" xfId="91" xr:uid="{00000000-0005-0000-0000-00004B000000}"/>
    <cellStyle name="Style 168" xfId="41" xr:uid="{00000000-0005-0000-0000-00004C000000}"/>
    <cellStyle name="Style 21" xfId="42" xr:uid="{00000000-0005-0000-0000-00004D000000}"/>
    <cellStyle name="Style 22" xfId="43" xr:uid="{00000000-0005-0000-0000-00004E000000}"/>
    <cellStyle name="Style 23" xfId="44" xr:uid="{00000000-0005-0000-0000-00004F000000}"/>
    <cellStyle name="Style 24" xfId="45" xr:uid="{00000000-0005-0000-0000-000050000000}"/>
    <cellStyle name="Style 25" xfId="46" xr:uid="{00000000-0005-0000-0000-000051000000}"/>
    <cellStyle name="Style 26" xfId="47" xr:uid="{00000000-0005-0000-0000-000052000000}"/>
    <cellStyle name="Style 27" xfId="48" xr:uid="{00000000-0005-0000-0000-000053000000}"/>
    <cellStyle name="Style 28" xfId="49" xr:uid="{00000000-0005-0000-0000-000054000000}"/>
    <cellStyle name="Style 29" xfId="50" xr:uid="{00000000-0005-0000-0000-000055000000}"/>
    <cellStyle name="Style 30" xfId="51" xr:uid="{00000000-0005-0000-0000-000056000000}"/>
    <cellStyle name="Style 31" xfId="52" xr:uid="{00000000-0005-0000-0000-000057000000}"/>
    <cellStyle name="Style 32" xfId="53" xr:uid="{00000000-0005-0000-0000-000058000000}"/>
    <cellStyle name="Style 33" xfId="54" xr:uid="{00000000-0005-0000-0000-000059000000}"/>
    <cellStyle name="Style 34" xfId="55" xr:uid="{00000000-0005-0000-0000-00005A000000}"/>
    <cellStyle name="Style 35" xfId="56" xr:uid="{00000000-0005-0000-0000-00005B000000}"/>
    <cellStyle name="Style 36" xfId="57" xr:uid="{00000000-0005-0000-0000-00005C000000}"/>
    <cellStyle name="Style 37" xfId="58" xr:uid="{00000000-0005-0000-0000-00005D000000}"/>
    <cellStyle name="Style 38" xfId="59" xr:uid="{00000000-0005-0000-0000-00005E000000}"/>
    <cellStyle name="Style 82" xfId="60" xr:uid="{00000000-0005-0000-0000-00005F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500529</xdr:colOff>
      <xdr:row>16</xdr:row>
      <xdr:rowOff>59764</xdr:rowOff>
    </xdr:from>
    <xdr:to>
      <xdr:col>4</xdr:col>
      <xdr:colOff>1553882</xdr:colOff>
      <xdr:row>22</xdr:row>
      <xdr:rowOff>112059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4E22C4-52ED-4A5B-AABB-C0621B7D2B3C}"/>
            </a:ext>
          </a:extLst>
        </xdr:cNvPr>
        <xdr:cNvSpPr txBox="1"/>
      </xdr:nvSpPr>
      <xdr:spPr>
        <a:xfrm>
          <a:off x="500529" y="2599764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</a:t>
          </a:r>
          <a:r>
            <a:rPr lang="en-US" sz="1100"/>
            <a:t>misc</a:t>
          </a:r>
          <a:r>
            <a:rPr lang="en-US" sz="1100" baseline="0"/>
            <a:t> program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5</xdr:col>
      <xdr:colOff>427318</xdr:colOff>
      <xdr:row>18</xdr:row>
      <xdr:rowOff>77695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50D346-B95F-426C-8FCA-02A802D330B7}"/>
            </a:ext>
          </a:extLst>
        </xdr:cNvPr>
        <xdr:cNvSpPr txBox="1"/>
      </xdr:nvSpPr>
      <xdr:spPr>
        <a:xfrm>
          <a:off x="533400" y="2578100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Food Bank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22413</xdr:colOff>
      <xdr:row>16</xdr:row>
      <xdr:rowOff>22412</xdr:rowOff>
    </xdr:from>
    <xdr:to>
      <xdr:col>4</xdr:col>
      <xdr:colOff>1292413</xdr:colOff>
      <xdr:row>20</xdr:row>
      <xdr:rowOff>89648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9AF616-51FF-4A46-974C-515C0250744F}"/>
            </a:ext>
          </a:extLst>
        </xdr:cNvPr>
        <xdr:cNvSpPr txBox="1"/>
      </xdr:nvSpPr>
      <xdr:spPr>
        <a:xfrm>
          <a:off x="635001" y="3010647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LGC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1150471</xdr:colOff>
      <xdr:row>19</xdr:row>
      <xdr:rowOff>67237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2C7CAC-AAD5-48C8-82B7-643700D3908C}"/>
            </a:ext>
          </a:extLst>
        </xdr:cNvPr>
        <xdr:cNvSpPr txBox="1"/>
      </xdr:nvSpPr>
      <xdr:spPr>
        <a:xfrm>
          <a:off x="530412" y="2801471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EE and EPEEBA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5</xdr:col>
      <xdr:colOff>425824</xdr:colOff>
      <xdr:row>19</xdr:row>
      <xdr:rowOff>67237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1521FD-15C8-42CC-B93F-C583BABFCF67}"/>
            </a:ext>
          </a:extLst>
        </xdr:cNvPr>
        <xdr:cNvSpPr txBox="1"/>
      </xdr:nvSpPr>
      <xdr:spPr>
        <a:xfrm>
          <a:off x="530412" y="2801471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CARE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5</xdr:col>
      <xdr:colOff>427318</xdr:colOff>
      <xdr:row>18</xdr:row>
      <xdr:rowOff>77695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8F89A3-DF7D-45A4-8C6F-10AEFB851B28}"/>
            </a:ext>
          </a:extLst>
        </xdr:cNvPr>
        <xdr:cNvSpPr txBox="1"/>
      </xdr:nvSpPr>
      <xdr:spPr>
        <a:xfrm>
          <a:off x="533400" y="2578100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FERA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37353</xdr:colOff>
      <xdr:row>14</xdr:row>
      <xdr:rowOff>14941</xdr:rowOff>
    </xdr:from>
    <xdr:to>
      <xdr:col>5</xdr:col>
      <xdr:colOff>455707</xdr:colOff>
      <xdr:row>18</xdr:row>
      <xdr:rowOff>82177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771F4D-CA51-418E-B88F-2F289A16B3F8}"/>
            </a:ext>
          </a:extLst>
        </xdr:cNvPr>
        <xdr:cNvSpPr txBox="1"/>
      </xdr:nvSpPr>
      <xdr:spPr>
        <a:xfrm>
          <a:off x="567765" y="2629647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ESAP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530411</xdr:colOff>
      <xdr:row>13</xdr:row>
      <xdr:rowOff>171823</xdr:rowOff>
    </xdr:from>
    <xdr:to>
      <xdr:col>5</xdr:col>
      <xdr:colOff>388470</xdr:colOff>
      <xdr:row>18</xdr:row>
      <xdr:rowOff>52294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BD000E-82BB-41DE-A9E1-7F3BB71BF054}"/>
            </a:ext>
          </a:extLst>
        </xdr:cNvPr>
        <xdr:cNvSpPr txBox="1"/>
      </xdr:nvSpPr>
      <xdr:spPr>
        <a:xfrm>
          <a:off x="530411" y="2599764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EPIC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5</xdr:col>
      <xdr:colOff>344768</xdr:colOff>
      <xdr:row>18</xdr:row>
      <xdr:rowOff>77695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8C825C-34AF-4E1D-A7A5-648D4CE412A6}"/>
            </a:ext>
          </a:extLst>
        </xdr:cNvPr>
        <xdr:cNvSpPr txBox="1"/>
      </xdr:nvSpPr>
      <xdr:spPr>
        <a:xfrm>
          <a:off x="533400" y="2578100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SGIP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5</xdr:col>
      <xdr:colOff>420968</xdr:colOff>
      <xdr:row>18</xdr:row>
      <xdr:rowOff>77695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E948D6-2B8F-4EC2-A669-420CCBECA409}"/>
            </a:ext>
          </a:extLst>
        </xdr:cNvPr>
        <xdr:cNvSpPr txBox="1"/>
      </xdr:nvSpPr>
      <xdr:spPr>
        <a:xfrm>
          <a:off x="533400" y="2578100"/>
          <a:ext cx="4288118" cy="81429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SDG&amp;E has not proposed to</a:t>
          </a:r>
          <a:r>
            <a:rPr lang="en-US" sz="1100" baseline="0"/>
            <a:t> update the CSI revenue allocations to include schools as a seperate class</a:t>
          </a:r>
          <a:r>
            <a:rPr lang="en-US" sz="1100"/>
            <a:t>. Pending approval of SDG&amp;E’s proposed School customer class, SDG&amp;E will propose a School customer class  in an appropriate upcoming proceeding.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53"/>
  <sheetViews>
    <sheetView zoomScale="85" zoomScaleNormal="85" workbookViewId="0">
      <selection activeCell="E29" sqref="E29"/>
    </sheetView>
  </sheetViews>
  <sheetFormatPr defaultRowHeight="11.25" x14ac:dyDescent="0.2"/>
  <cols>
    <col min="1" max="1" width="10.6640625" customWidth="1"/>
    <col min="2" max="2" width="45.6640625" customWidth="1"/>
    <col min="3" max="3" width="91.6640625" bestFit="1" customWidth="1"/>
  </cols>
  <sheetData>
    <row r="1" spans="1:6" ht="15" x14ac:dyDescent="0.25">
      <c r="A1" s="108" t="s">
        <v>54</v>
      </c>
      <c r="B1" s="108"/>
      <c r="C1" s="108"/>
      <c r="D1" s="59"/>
      <c r="E1" s="59"/>
      <c r="F1" s="59"/>
    </row>
    <row r="2" spans="1:6" ht="15" x14ac:dyDescent="0.25">
      <c r="A2" s="108" t="s">
        <v>119</v>
      </c>
      <c r="B2" s="108"/>
      <c r="C2" s="108"/>
      <c r="D2" s="59"/>
      <c r="E2" s="59"/>
      <c r="F2" s="59"/>
    </row>
    <row r="3" spans="1:6" ht="15" x14ac:dyDescent="0.25">
      <c r="A3" s="108" t="s">
        <v>80</v>
      </c>
      <c r="B3" s="108"/>
      <c r="C3" s="108"/>
      <c r="D3" s="59"/>
      <c r="E3" s="59"/>
      <c r="F3" s="59"/>
    </row>
    <row r="4" spans="1:6" ht="15" x14ac:dyDescent="0.25">
      <c r="A4" s="57"/>
      <c r="B4" s="57"/>
      <c r="C4" s="57"/>
      <c r="D4" s="59"/>
      <c r="E4" s="59"/>
      <c r="F4" s="59"/>
    </row>
    <row r="5" spans="1:6" ht="12.75" x14ac:dyDescent="0.2">
      <c r="A5" s="52">
        <v>1</v>
      </c>
      <c r="B5" s="53" t="s">
        <v>55</v>
      </c>
      <c r="C5" s="54" t="s">
        <v>56</v>
      </c>
    </row>
    <row r="6" spans="1:6" ht="12.75" x14ac:dyDescent="0.2">
      <c r="A6" s="52"/>
      <c r="B6" s="53"/>
      <c r="C6" s="54"/>
    </row>
    <row r="7" spans="1:6" ht="12.75" x14ac:dyDescent="0.2">
      <c r="A7" s="52">
        <f>A5+1</f>
        <v>2</v>
      </c>
      <c r="B7" s="55" t="s">
        <v>59</v>
      </c>
      <c r="C7" s="54" t="s">
        <v>68</v>
      </c>
    </row>
    <row r="8" spans="1:6" ht="12.75" x14ac:dyDescent="0.2">
      <c r="A8" s="52"/>
      <c r="B8" s="55"/>
      <c r="C8" s="54"/>
    </row>
    <row r="9" spans="1:6" ht="12.75" x14ac:dyDescent="0.2">
      <c r="A9" s="52">
        <f>A7+1</f>
        <v>3</v>
      </c>
      <c r="B9" s="55" t="s">
        <v>60</v>
      </c>
      <c r="C9" s="54" t="s">
        <v>69</v>
      </c>
    </row>
    <row r="10" spans="1:6" ht="12.75" x14ac:dyDescent="0.2">
      <c r="A10" s="52"/>
      <c r="B10" s="55"/>
      <c r="C10" s="54"/>
    </row>
    <row r="11" spans="1:6" ht="12.75" x14ac:dyDescent="0.2">
      <c r="A11" s="52">
        <f>A9+1</f>
        <v>4</v>
      </c>
      <c r="B11" s="55" t="s">
        <v>61</v>
      </c>
      <c r="C11" s="54" t="s">
        <v>108</v>
      </c>
    </row>
    <row r="12" spans="1:6" ht="12.75" x14ac:dyDescent="0.2">
      <c r="A12" s="52"/>
      <c r="B12" s="55"/>
      <c r="C12" s="54"/>
    </row>
    <row r="13" spans="1:6" ht="12.75" x14ac:dyDescent="0.2">
      <c r="A13" s="52">
        <f>A11+1</f>
        <v>5</v>
      </c>
      <c r="B13" s="55" t="s">
        <v>1</v>
      </c>
      <c r="C13" s="54" t="s">
        <v>107</v>
      </c>
    </row>
    <row r="14" spans="1:6" ht="12.75" x14ac:dyDescent="0.2">
      <c r="A14" s="52"/>
      <c r="B14" s="55"/>
      <c r="C14" s="54"/>
    </row>
    <row r="15" spans="1:6" ht="12.75" x14ac:dyDescent="0.2">
      <c r="A15" s="52">
        <f>A13+1</f>
        <v>6</v>
      </c>
      <c r="B15" s="55" t="s">
        <v>58</v>
      </c>
      <c r="C15" s="54" t="s">
        <v>70</v>
      </c>
    </row>
    <row r="16" spans="1:6" ht="12.75" x14ac:dyDescent="0.2">
      <c r="A16" s="52"/>
      <c r="B16" s="55"/>
      <c r="C16" s="54"/>
    </row>
    <row r="17" spans="1:3" ht="12.75" x14ac:dyDescent="0.2">
      <c r="A17" s="52">
        <f>A15+1</f>
        <v>7</v>
      </c>
      <c r="B17" s="55" t="s">
        <v>0</v>
      </c>
      <c r="C17" s="53" t="s">
        <v>76</v>
      </c>
    </row>
    <row r="18" spans="1:3" ht="12.75" x14ac:dyDescent="0.2">
      <c r="A18" s="52"/>
      <c r="B18" s="55"/>
      <c r="C18" s="54"/>
    </row>
    <row r="19" spans="1:3" ht="12.75" x14ac:dyDescent="0.2">
      <c r="A19" s="52">
        <f>A17+1</f>
        <v>8</v>
      </c>
      <c r="B19" s="55" t="s">
        <v>57</v>
      </c>
      <c r="C19" s="54" t="s">
        <v>71</v>
      </c>
    </row>
    <row r="20" spans="1:3" ht="12.75" x14ac:dyDescent="0.2">
      <c r="A20" s="52"/>
      <c r="B20" s="55"/>
      <c r="C20" s="54"/>
    </row>
    <row r="21" spans="1:3" ht="12.75" x14ac:dyDescent="0.2">
      <c r="A21" s="52">
        <f>A19+1</f>
        <v>9</v>
      </c>
      <c r="B21" s="55" t="s">
        <v>63</v>
      </c>
      <c r="C21" s="54" t="s">
        <v>72</v>
      </c>
    </row>
    <row r="22" spans="1:3" ht="12.75" x14ac:dyDescent="0.2">
      <c r="A22" s="52"/>
      <c r="B22" s="55"/>
      <c r="C22" s="54"/>
    </row>
    <row r="23" spans="1:3" ht="12.75" x14ac:dyDescent="0.2">
      <c r="A23" s="52">
        <f>A21+1</f>
        <v>10</v>
      </c>
      <c r="B23" s="55" t="s">
        <v>64</v>
      </c>
      <c r="C23" s="54" t="s">
        <v>74</v>
      </c>
    </row>
    <row r="24" spans="1:3" ht="12.75" x14ac:dyDescent="0.2">
      <c r="A24" s="52"/>
      <c r="B24" s="55"/>
      <c r="C24" s="54"/>
    </row>
    <row r="25" spans="1:3" ht="12.75" x14ac:dyDescent="0.2">
      <c r="A25" s="52">
        <f>A23+1</f>
        <v>11</v>
      </c>
      <c r="B25" s="55" t="s">
        <v>101</v>
      </c>
      <c r="C25" s="54" t="s">
        <v>102</v>
      </c>
    </row>
    <row r="26" spans="1:3" ht="12.75" x14ac:dyDescent="0.2">
      <c r="A26" s="52"/>
      <c r="B26" s="55"/>
      <c r="C26" s="54"/>
    </row>
    <row r="27" spans="1:3" ht="12.75" x14ac:dyDescent="0.2">
      <c r="A27" s="52">
        <f>A25+1</f>
        <v>12</v>
      </c>
      <c r="B27" s="55" t="s">
        <v>65</v>
      </c>
      <c r="C27" s="54" t="s">
        <v>75</v>
      </c>
    </row>
    <row r="28" spans="1:3" ht="12.75" x14ac:dyDescent="0.2">
      <c r="A28" s="52"/>
      <c r="B28" s="55"/>
      <c r="C28" s="54"/>
    </row>
    <row r="29" spans="1:3" ht="12.75" x14ac:dyDescent="0.2">
      <c r="A29" s="52">
        <f>A27+1</f>
        <v>13</v>
      </c>
      <c r="B29" s="55" t="s">
        <v>62</v>
      </c>
      <c r="C29" s="53" t="s">
        <v>73</v>
      </c>
    </row>
    <row r="30" spans="1:3" ht="12.75" x14ac:dyDescent="0.2">
      <c r="A30" s="52"/>
      <c r="B30" s="55"/>
      <c r="C30" s="54"/>
    </row>
    <row r="31" spans="1:3" ht="12.75" x14ac:dyDescent="0.2">
      <c r="A31" s="52">
        <f>A29+1</f>
        <v>14</v>
      </c>
      <c r="B31" s="55" t="s">
        <v>82</v>
      </c>
      <c r="C31" s="54" t="s">
        <v>83</v>
      </c>
    </row>
    <row r="32" spans="1:3" ht="12.75" x14ac:dyDescent="0.2">
      <c r="A32" s="52"/>
      <c r="B32" s="55"/>
      <c r="C32" s="54"/>
    </row>
    <row r="33" spans="1:3" ht="12.75" x14ac:dyDescent="0.2">
      <c r="A33" s="52">
        <f>A31+1</f>
        <v>15</v>
      </c>
      <c r="B33" s="55" t="s">
        <v>103</v>
      </c>
      <c r="C33" s="54" t="s">
        <v>104</v>
      </c>
    </row>
    <row r="34" spans="1:3" ht="12.75" x14ac:dyDescent="0.2">
      <c r="A34" s="52"/>
      <c r="B34" s="55"/>
      <c r="C34" s="54"/>
    </row>
    <row r="35" spans="1:3" ht="12.75" x14ac:dyDescent="0.2">
      <c r="A35" s="52">
        <f>A33+1</f>
        <v>16</v>
      </c>
      <c r="B35" s="55" t="s">
        <v>105</v>
      </c>
      <c r="C35" s="54" t="s">
        <v>106</v>
      </c>
    </row>
    <row r="36" spans="1:3" ht="12.75" x14ac:dyDescent="0.2">
      <c r="A36" s="52"/>
      <c r="B36" s="55"/>
      <c r="C36" s="54"/>
    </row>
    <row r="37" spans="1:3" ht="12.75" x14ac:dyDescent="0.2">
      <c r="A37" s="52">
        <f>A35+1</f>
        <v>17</v>
      </c>
      <c r="B37" s="55" t="s">
        <v>116</v>
      </c>
      <c r="C37" s="54" t="s">
        <v>117</v>
      </c>
    </row>
    <row r="38" spans="1:3" ht="12.75" x14ac:dyDescent="0.2">
      <c r="A38" s="52"/>
      <c r="B38" s="55"/>
      <c r="C38" s="54"/>
    </row>
    <row r="39" spans="1:3" ht="12.75" x14ac:dyDescent="0.2">
      <c r="A39" s="52">
        <f>A37+1</f>
        <v>18</v>
      </c>
      <c r="B39" s="55" t="s">
        <v>66</v>
      </c>
      <c r="C39" s="54" t="s">
        <v>78</v>
      </c>
    </row>
    <row r="40" spans="1:3" ht="12.75" x14ac:dyDescent="0.2">
      <c r="A40" s="52"/>
      <c r="B40" s="55"/>
      <c r="C40" s="54"/>
    </row>
    <row r="41" spans="1:3" ht="12.75" x14ac:dyDescent="0.2">
      <c r="A41" s="52">
        <f>A39+1</f>
        <v>19</v>
      </c>
      <c r="B41" s="55" t="s">
        <v>67</v>
      </c>
      <c r="C41" s="53" t="s">
        <v>77</v>
      </c>
    </row>
    <row r="42" spans="1:3" ht="12.75" x14ac:dyDescent="0.2">
      <c r="A42" s="52"/>
      <c r="B42" s="55"/>
      <c r="C42" s="54"/>
    </row>
    <row r="43" spans="1:3" ht="12.75" x14ac:dyDescent="0.2">
      <c r="A43" s="52"/>
      <c r="B43" s="55"/>
      <c r="C43" s="54"/>
    </row>
    <row r="44" spans="1:3" ht="12.75" x14ac:dyDescent="0.2">
      <c r="A44" s="52"/>
      <c r="B44" s="55"/>
      <c r="C44" s="54"/>
    </row>
    <row r="45" spans="1:3" ht="12.75" x14ac:dyDescent="0.2">
      <c r="A45" s="52"/>
      <c r="B45" s="55"/>
      <c r="C45" s="54"/>
    </row>
    <row r="46" spans="1:3" ht="12.75" x14ac:dyDescent="0.2">
      <c r="A46" s="52"/>
      <c r="B46" s="55"/>
      <c r="C46" s="54"/>
    </row>
    <row r="47" spans="1:3" ht="12.75" x14ac:dyDescent="0.2">
      <c r="A47" s="52"/>
      <c r="B47" s="55"/>
      <c r="C47" s="54"/>
    </row>
    <row r="48" spans="1:3" ht="12.75" x14ac:dyDescent="0.2">
      <c r="A48" s="52"/>
      <c r="B48" s="55"/>
      <c r="C48" s="54"/>
    </row>
    <row r="49" spans="1:3" ht="12.75" x14ac:dyDescent="0.2">
      <c r="A49" s="52"/>
      <c r="B49" s="55"/>
      <c r="C49" s="53"/>
    </row>
    <row r="50" spans="1:3" ht="12.75" x14ac:dyDescent="0.2">
      <c r="A50" s="52"/>
      <c r="B50" s="55"/>
      <c r="C50" s="54"/>
    </row>
    <row r="51" spans="1:3" ht="12.75" x14ac:dyDescent="0.2">
      <c r="A51" s="52"/>
      <c r="B51" s="55"/>
      <c r="C51" s="54"/>
    </row>
    <row r="52" spans="1:3" ht="12.75" x14ac:dyDescent="0.2">
      <c r="A52" s="52"/>
      <c r="B52" s="55"/>
      <c r="C52" s="54"/>
    </row>
    <row r="53" spans="1:3" ht="12.75" x14ac:dyDescent="0.2">
      <c r="A53" s="52"/>
      <c r="B53" s="55"/>
      <c r="C53" s="53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  <headerFooter>
    <oddFooter>&amp;L&amp;F
&amp;A&amp;R&amp;P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F14"/>
  <sheetViews>
    <sheetView topLeftCell="A4" zoomScale="85" zoomScaleNormal="85" workbookViewId="0">
      <selection activeCell="D7" sqref="D7"/>
    </sheetView>
  </sheetViews>
  <sheetFormatPr defaultColWidth="9.33203125" defaultRowHeight="15" x14ac:dyDescent="0.25"/>
  <cols>
    <col min="1" max="1" width="9.33203125" style="3"/>
    <col min="2" max="2" width="15" style="3" customWidth="1"/>
    <col min="3" max="3" width="13" style="3" bestFit="1" customWidth="1"/>
    <col min="4" max="4" width="14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6" x14ac:dyDescent="0.25">
      <c r="B6" s="33"/>
      <c r="C6" s="4" t="s">
        <v>7</v>
      </c>
      <c r="D6" s="4" t="s">
        <v>8</v>
      </c>
      <c r="E6" s="4" t="s">
        <v>9</v>
      </c>
    </row>
    <row r="7" spans="1:6" x14ac:dyDescent="0.25">
      <c r="B7" s="4" t="s">
        <v>2</v>
      </c>
      <c r="C7" s="36">
        <v>0.32469012958724708</v>
      </c>
      <c r="D7" s="37">
        <f>'Sales %'!H6</f>
        <v>0.31695711820870948</v>
      </c>
      <c r="E7" s="34">
        <f>(D7-C7)/C7</f>
        <v>-2.3816589030186932E-2</v>
      </c>
    </row>
    <row r="8" spans="1:6" x14ac:dyDescent="0.25">
      <c r="B8" s="4" t="s">
        <v>10</v>
      </c>
      <c r="C8" s="36">
        <v>0.11911757788890198</v>
      </c>
      <c r="D8" s="37">
        <f>'Sales %'!H7</f>
        <v>0.12360904867606727</v>
      </c>
      <c r="E8" s="34">
        <f>(D8-C8)/C8</f>
        <v>3.7706196404987118E-2</v>
      </c>
    </row>
    <row r="9" spans="1:6" x14ac:dyDescent="0.25">
      <c r="B9" s="4" t="s">
        <v>11</v>
      </c>
      <c r="C9" s="36">
        <v>0.5397275811009683</v>
      </c>
      <c r="D9" s="37">
        <f>'Sales %'!H8</f>
        <v>0.54088534529479504</v>
      </c>
      <c r="E9" s="34">
        <f>(D9-C9)/C9</f>
        <v>2.1450899201131469E-3</v>
      </c>
    </row>
    <row r="10" spans="1:6" x14ac:dyDescent="0.25">
      <c r="B10" s="4" t="s">
        <v>3</v>
      </c>
      <c r="C10" s="36">
        <v>1.6464711422882472E-2</v>
      </c>
      <c r="D10" s="37">
        <f>'Sales %'!H9</f>
        <v>1.8548487820428158E-2</v>
      </c>
      <c r="E10" s="34">
        <f>(D10-C10)/C10</f>
        <v>0.12656015304645285</v>
      </c>
    </row>
    <row r="11" spans="1:6" x14ac:dyDescent="0.25">
      <c r="B11" s="15" t="s">
        <v>12</v>
      </c>
      <c r="C11" s="37">
        <v>0</v>
      </c>
      <c r="D11" s="37">
        <v>0</v>
      </c>
      <c r="E11" s="34"/>
    </row>
    <row r="13" spans="1:6" x14ac:dyDescent="0.25">
      <c r="B13" s="12" t="s">
        <v>21</v>
      </c>
    </row>
    <row r="14" spans="1:6" x14ac:dyDescent="0.25">
      <c r="B14" s="4"/>
      <c r="C14" s="17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headerFooter>
    <oddFooter>&amp;L&amp;F
&amp;A&amp;R&amp;P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5D1E-160C-42F8-AF3B-13D383DA6466}">
  <dimension ref="A1:F14"/>
  <sheetViews>
    <sheetView workbookViewId="0">
      <selection activeCell="C11" sqref="C11"/>
    </sheetView>
  </sheetViews>
  <sheetFormatPr defaultColWidth="9.33203125" defaultRowHeight="15" x14ac:dyDescent="0.25"/>
  <cols>
    <col min="1" max="1" width="9.33203125" style="3"/>
    <col min="2" max="2" width="15" style="3" customWidth="1"/>
    <col min="3" max="3" width="13" style="3" bestFit="1" customWidth="1"/>
    <col min="4" max="4" width="14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6" x14ac:dyDescent="0.25">
      <c r="B6" s="33"/>
      <c r="C6" s="4" t="s">
        <v>7</v>
      </c>
      <c r="D6" s="4" t="s">
        <v>8</v>
      </c>
      <c r="E6" s="4" t="s">
        <v>9</v>
      </c>
    </row>
    <row r="7" spans="1:6" x14ac:dyDescent="0.25">
      <c r="B7" s="4" t="s">
        <v>2</v>
      </c>
      <c r="C7" s="36">
        <v>0.32469012958724708</v>
      </c>
      <c r="D7" s="37">
        <f>'Sales %'!H6</f>
        <v>0.31695711820870948</v>
      </c>
      <c r="E7" s="34">
        <f>(D7-C7)/C7</f>
        <v>-2.3816589030186932E-2</v>
      </c>
    </row>
    <row r="8" spans="1:6" x14ac:dyDescent="0.25">
      <c r="B8" s="4" t="s">
        <v>10</v>
      </c>
      <c r="C8" s="36">
        <v>0.11911757788890198</v>
      </c>
      <c r="D8" s="37">
        <f>'Sales %'!H7</f>
        <v>0.12360904867606727</v>
      </c>
      <c r="E8" s="34">
        <f>(D8-C8)/C8</f>
        <v>3.7706196404987118E-2</v>
      </c>
    </row>
    <row r="9" spans="1:6" x14ac:dyDescent="0.25">
      <c r="B9" s="4" t="s">
        <v>11</v>
      </c>
      <c r="C9" s="36">
        <v>0.5397275811009683</v>
      </c>
      <c r="D9" s="37">
        <f>'Sales %'!H8</f>
        <v>0.54088534529479504</v>
      </c>
      <c r="E9" s="34">
        <f>(D9-C9)/C9</f>
        <v>2.1450899201131469E-3</v>
      </c>
    </row>
    <row r="10" spans="1:6" x14ac:dyDescent="0.25">
      <c r="B10" s="4" t="s">
        <v>3</v>
      </c>
      <c r="C10" s="36">
        <v>1.6464711422882472E-2</v>
      </c>
      <c r="D10" s="37">
        <f>'Sales %'!H9</f>
        <v>1.8548487820428158E-2</v>
      </c>
      <c r="E10" s="34">
        <f>(D10-C10)/C10</f>
        <v>0.12656015304645285</v>
      </c>
    </row>
    <row r="11" spans="1:6" x14ac:dyDescent="0.25">
      <c r="B11" s="15" t="s">
        <v>12</v>
      </c>
      <c r="C11" s="37">
        <v>0</v>
      </c>
      <c r="D11" s="37">
        <v>0</v>
      </c>
      <c r="E11" s="34"/>
    </row>
    <row r="13" spans="1:6" x14ac:dyDescent="0.25">
      <c r="B13" s="12" t="s">
        <v>21</v>
      </c>
    </row>
    <row r="14" spans="1:6" x14ac:dyDescent="0.25">
      <c r="B14" s="4"/>
      <c r="C14" s="17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14"/>
  <sheetViews>
    <sheetView zoomScale="85" zoomScaleNormal="85" workbookViewId="0">
      <selection activeCell="E10" sqref="E10"/>
    </sheetView>
  </sheetViews>
  <sheetFormatPr defaultColWidth="9.33203125" defaultRowHeight="15" x14ac:dyDescent="0.25"/>
  <cols>
    <col min="1" max="1" width="9.33203125" style="3"/>
    <col min="2" max="2" width="15" style="3" customWidth="1"/>
    <col min="3" max="3" width="13" style="3" bestFit="1" customWidth="1"/>
    <col min="4" max="4" width="14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6" x14ac:dyDescent="0.25">
      <c r="B6" s="33"/>
      <c r="C6" s="4" t="s">
        <v>7</v>
      </c>
      <c r="D6" s="4" t="s">
        <v>8</v>
      </c>
      <c r="E6" s="4" t="s">
        <v>9</v>
      </c>
    </row>
    <row r="7" spans="1:6" x14ac:dyDescent="0.25">
      <c r="B7" s="4" t="s">
        <v>2</v>
      </c>
      <c r="C7" s="36">
        <v>0.36151633453219451</v>
      </c>
      <c r="D7" s="37">
        <f>'Sales %'!G6</f>
        <v>0.35357920016305383</v>
      </c>
      <c r="E7" s="34">
        <f>(D7-C7)/C7</f>
        <v>-2.1955119619730047E-2</v>
      </c>
    </row>
    <row r="8" spans="1:6" x14ac:dyDescent="0.25">
      <c r="B8" s="4" t="s">
        <v>10</v>
      </c>
      <c r="C8" s="36">
        <v>0.11259841004657432</v>
      </c>
      <c r="D8" s="37">
        <f>'Sales %'!G7</f>
        <v>0.11693952227297034</v>
      </c>
      <c r="E8" s="34">
        <f>(D8-C8)/C8</f>
        <v>3.8553938946388297E-2</v>
      </c>
    </row>
    <row r="9" spans="1:6" x14ac:dyDescent="0.25">
      <c r="B9" s="4" t="s">
        <v>11</v>
      </c>
      <c r="C9" s="36">
        <v>0.51034146250338597</v>
      </c>
      <c r="D9" s="37">
        <f>'Sales %'!G8</f>
        <v>0.51195172050871518</v>
      </c>
      <c r="E9" s="34">
        <f>(D9-C9)/C9</f>
        <v>3.1552560856615269E-3</v>
      </c>
    </row>
    <row r="10" spans="1:6" x14ac:dyDescent="0.25">
      <c r="B10" s="4" t="s">
        <v>3</v>
      </c>
      <c r="C10" s="36">
        <v>1.5543792917845268E-2</v>
      </c>
      <c r="D10" s="37">
        <f>'Sales %'!G9</f>
        <v>1.7529557055260624E-2</v>
      </c>
      <c r="E10" s="34">
        <f>(D10-C10)/C10</f>
        <v>0.12775286880820266</v>
      </c>
    </row>
    <row r="11" spans="1:6" x14ac:dyDescent="0.25">
      <c r="B11" s="15" t="s">
        <v>22</v>
      </c>
      <c r="C11" s="37">
        <v>0</v>
      </c>
      <c r="D11" s="37">
        <v>0</v>
      </c>
      <c r="E11" s="35"/>
    </row>
    <row r="13" spans="1:6" x14ac:dyDescent="0.25">
      <c r="B13" s="19" t="s">
        <v>23</v>
      </c>
    </row>
    <row r="14" spans="1:6" x14ac:dyDescent="0.25">
      <c r="B14" s="19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headerFooter>
    <oddFooter>&amp;L&amp;F
&amp;A&amp;R&amp;P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0"/>
  <sheetViews>
    <sheetView zoomScale="85" zoomScaleNormal="85" workbookViewId="0">
      <selection activeCell="D11" sqref="D11"/>
    </sheetView>
  </sheetViews>
  <sheetFormatPr defaultColWidth="9.33203125" defaultRowHeight="15" x14ac:dyDescent="0.25"/>
  <cols>
    <col min="1" max="1" width="9.33203125" style="3"/>
    <col min="2" max="2" width="15.6640625" style="3" customWidth="1"/>
    <col min="3" max="3" width="13" style="3" bestFit="1" customWidth="1"/>
    <col min="4" max="4" width="14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6" x14ac:dyDescent="0.25">
      <c r="B6" s="33"/>
      <c r="C6" s="4" t="s">
        <v>7</v>
      </c>
      <c r="D6" s="4" t="s">
        <v>8</v>
      </c>
      <c r="E6" s="4" t="s">
        <v>9</v>
      </c>
    </row>
    <row r="7" spans="1:6" x14ac:dyDescent="0.25">
      <c r="B7" s="4" t="s">
        <v>2</v>
      </c>
      <c r="C7" s="36">
        <v>0.35991938342165714</v>
      </c>
      <c r="D7" s="37">
        <f>'Sales %'!F6</f>
        <v>0.35197421781092891</v>
      </c>
      <c r="E7" s="34">
        <f>(D7-C7)/C7</f>
        <v>-2.2074847803960046E-2</v>
      </c>
    </row>
    <row r="8" spans="1:6" x14ac:dyDescent="0.25">
      <c r="B8" s="4" t="s">
        <v>10</v>
      </c>
      <c r="C8" s="36">
        <v>0.1121010213014674</v>
      </c>
      <c r="D8" s="37">
        <f>'Sales %'!F7</f>
        <v>0.11640870521860885</v>
      </c>
      <c r="E8" s="34">
        <f>(D8-C8)/C8</f>
        <v>3.8426803495010313E-2</v>
      </c>
    </row>
    <row r="9" spans="1:6" x14ac:dyDescent="0.25">
      <c r="B9" s="4" t="s">
        <v>11</v>
      </c>
      <c r="C9" s="36">
        <v>0.50808709586085887</v>
      </c>
      <c r="D9" s="37">
        <f>'Sales %'!F8</f>
        <v>0.50962784660386562</v>
      </c>
      <c r="E9" s="34">
        <f>(D9-C9)/C9</f>
        <v>3.0324539937315901E-3</v>
      </c>
    </row>
    <row r="10" spans="1:6" x14ac:dyDescent="0.25">
      <c r="B10" s="4" t="s">
        <v>3</v>
      </c>
      <c r="C10" s="36">
        <v>1.5475130246228404E-2</v>
      </c>
      <c r="D10" s="37">
        <f>'Sales %'!F9</f>
        <v>1.744998611414959E-2</v>
      </c>
      <c r="E10" s="34">
        <f>(D10-C10)/C10</f>
        <v>0.12761481399502256</v>
      </c>
    </row>
    <row r="11" spans="1:6" x14ac:dyDescent="0.25">
      <c r="B11" s="4" t="s">
        <v>12</v>
      </c>
      <c r="C11" s="36">
        <v>4.4173691697880326E-3</v>
      </c>
      <c r="D11" s="37">
        <f>'Sales %'!F10</f>
        <v>4.5392442524470151E-3</v>
      </c>
      <c r="E11" s="34">
        <f>(D11-C11)/C11</f>
        <v>2.7589969951465641E-2</v>
      </c>
    </row>
    <row r="13" spans="1:6" x14ac:dyDescent="0.25">
      <c r="B13" s="12" t="s">
        <v>20</v>
      </c>
    </row>
    <row r="14" spans="1:6" x14ac:dyDescent="0.25">
      <c r="B14" s="4"/>
      <c r="C14" s="17"/>
    </row>
    <row r="15" spans="1:6" x14ac:dyDescent="0.25">
      <c r="D15" s="6"/>
    </row>
    <row r="16" spans="1:6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headerFooter>
    <oddFooter>&amp;L&amp;F
&amp;A&amp;R&amp;P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752B-9292-4863-A833-EB35744DB1C9}">
  <sheetPr codeName="Sheet14"/>
  <dimension ref="A1:F14"/>
  <sheetViews>
    <sheetView workbookViewId="0">
      <selection activeCell="K12" sqref="K12"/>
    </sheetView>
  </sheetViews>
  <sheetFormatPr defaultColWidth="9.33203125" defaultRowHeight="15" x14ac:dyDescent="0.25"/>
  <cols>
    <col min="1" max="1" width="9.33203125" style="3"/>
    <col min="2" max="2" width="15" style="3" customWidth="1"/>
    <col min="3" max="3" width="13" style="3" bestFit="1" customWidth="1"/>
    <col min="4" max="4" width="15.33203125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6" x14ac:dyDescent="0.25">
      <c r="B6" s="80"/>
      <c r="C6" s="15" t="s">
        <v>7</v>
      </c>
      <c r="D6" s="15" t="s">
        <v>8</v>
      </c>
      <c r="E6" s="15" t="s">
        <v>9</v>
      </c>
    </row>
    <row r="7" spans="1:6" x14ac:dyDescent="0.25">
      <c r="B7" s="15" t="s">
        <v>2</v>
      </c>
      <c r="C7" s="37">
        <v>0.35991938342165714</v>
      </c>
      <c r="D7" s="37">
        <v>8.4156525586731964E-2</v>
      </c>
      <c r="E7" s="81">
        <f>(D7-C7)/C7</f>
        <v>-0.76617951279345264</v>
      </c>
    </row>
    <row r="8" spans="1:6" x14ac:dyDescent="0.25">
      <c r="B8" s="15" t="s">
        <v>10</v>
      </c>
      <c r="C8" s="37">
        <v>0.1121010213014674</v>
      </c>
      <c r="D8" s="37">
        <v>0</v>
      </c>
      <c r="E8" s="81">
        <f>(D8-C8)/C8</f>
        <v>-1</v>
      </c>
    </row>
    <row r="9" spans="1:6" x14ac:dyDescent="0.25">
      <c r="B9" s="15" t="s">
        <v>11</v>
      </c>
      <c r="C9" s="37">
        <v>0.50808709586085887</v>
      </c>
      <c r="D9" s="37">
        <v>0.87714842933187254</v>
      </c>
      <c r="E9" s="81">
        <f>(D9-C9)/C9</f>
        <v>0.72637415214355727</v>
      </c>
    </row>
    <row r="10" spans="1:6" x14ac:dyDescent="0.25">
      <c r="B10" s="15" t="s">
        <v>3</v>
      </c>
      <c r="C10" s="37">
        <v>1.5475130246228404E-2</v>
      </c>
      <c r="D10" s="37">
        <v>3.8695045081395513E-2</v>
      </c>
      <c r="E10" s="81">
        <f>(D10-C10)/C10</f>
        <v>1.5004665205209671</v>
      </c>
    </row>
    <row r="11" spans="1:6" x14ac:dyDescent="0.25">
      <c r="B11" s="15" t="s">
        <v>22</v>
      </c>
      <c r="C11" s="37">
        <v>4.4173691697880326E-3</v>
      </c>
      <c r="D11" s="37">
        <v>0</v>
      </c>
      <c r="E11" s="81">
        <f>(D11-C11)/C11</f>
        <v>-1</v>
      </c>
    </row>
    <row r="12" spans="1:6" x14ac:dyDescent="0.25">
      <c r="B12" s="21"/>
      <c r="C12" s="21"/>
      <c r="D12" s="21"/>
      <c r="E12" s="21"/>
    </row>
    <row r="13" spans="1:6" x14ac:dyDescent="0.25">
      <c r="B13" s="19" t="s">
        <v>84</v>
      </c>
      <c r="C13" s="21"/>
      <c r="D13" s="21"/>
      <c r="E13" s="21"/>
    </row>
    <row r="14" spans="1:6" x14ac:dyDescent="0.25">
      <c r="B14" s="19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C76C-1192-4A18-AA4A-0D4E2527E675}">
  <dimension ref="A1:F14"/>
  <sheetViews>
    <sheetView workbookViewId="0">
      <selection activeCell="G10" sqref="G10"/>
    </sheetView>
  </sheetViews>
  <sheetFormatPr defaultColWidth="9.33203125" defaultRowHeight="15" x14ac:dyDescent="0.25"/>
  <cols>
    <col min="1" max="1" width="9.33203125" style="3"/>
    <col min="2" max="2" width="15" style="3" customWidth="1"/>
    <col min="3" max="3" width="13" style="3" bestFit="1" customWidth="1"/>
    <col min="4" max="4" width="14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6" x14ac:dyDescent="0.25">
      <c r="B6" s="80"/>
      <c r="C6" s="15" t="s">
        <v>7</v>
      </c>
      <c r="D6" s="15" t="s">
        <v>8</v>
      </c>
      <c r="E6" s="15" t="s">
        <v>9</v>
      </c>
    </row>
    <row r="7" spans="1:6" x14ac:dyDescent="0.25">
      <c r="B7" s="15" t="s">
        <v>2</v>
      </c>
      <c r="C7" s="37">
        <v>0.41548062462667729</v>
      </c>
      <c r="D7" s="37">
        <f>C7</f>
        <v>0.41548062462667729</v>
      </c>
      <c r="E7" s="81">
        <f>(D7-C7)/C7</f>
        <v>0</v>
      </c>
    </row>
    <row r="8" spans="1:6" x14ac:dyDescent="0.25">
      <c r="B8" s="15" t="s">
        <v>10</v>
      </c>
      <c r="C8" s="37">
        <v>0.11372317853934658</v>
      </c>
      <c r="D8" s="37">
        <f>C8</f>
        <v>0.11372317853934658</v>
      </c>
      <c r="E8" s="81">
        <f>(D8-C8)/C8</f>
        <v>0</v>
      </c>
    </row>
    <row r="9" spans="1:6" x14ac:dyDescent="0.25">
      <c r="B9" s="15" t="s">
        <v>11</v>
      </c>
      <c r="C9" s="37">
        <v>0.44959881335524515</v>
      </c>
      <c r="D9" s="37">
        <f>C9</f>
        <v>0.44959881335524515</v>
      </c>
      <c r="E9" s="81">
        <f>(D9-C9)/C9</f>
        <v>0</v>
      </c>
    </row>
    <row r="10" spans="1:6" x14ac:dyDescent="0.25">
      <c r="B10" s="15" t="s">
        <v>3</v>
      </c>
      <c r="C10" s="37">
        <v>1.5913655348609279E-2</v>
      </c>
      <c r="D10" s="37">
        <f>C10</f>
        <v>1.5913655348609279E-2</v>
      </c>
      <c r="E10" s="81">
        <f>(D10-C10)/C10</f>
        <v>0</v>
      </c>
    </row>
    <row r="11" spans="1:6" x14ac:dyDescent="0.25">
      <c r="B11" s="15" t="s">
        <v>22</v>
      </c>
      <c r="C11" s="37">
        <v>5.2837281301218514E-3</v>
      </c>
      <c r="D11" s="37">
        <f>C11</f>
        <v>5.2837281301218514E-3</v>
      </c>
      <c r="E11" s="81">
        <f>(D11-C11)/C11</f>
        <v>0</v>
      </c>
    </row>
    <row r="12" spans="1:6" x14ac:dyDescent="0.25">
      <c r="B12" s="21"/>
      <c r="C12" s="21"/>
      <c r="D12" s="21"/>
      <c r="E12" s="21"/>
    </row>
    <row r="13" spans="1:6" x14ac:dyDescent="0.25">
      <c r="B13" s="19" t="s">
        <v>93</v>
      </c>
      <c r="C13" s="21"/>
      <c r="D13" s="21"/>
      <c r="E13" s="21"/>
    </row>
    <row r="14" spans="1:6" x14ac:dyDescent="0.25">
      <c r="B14" s="19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0BF6-384A-48A9-AD41-8A27E7ECCA60}">
  <dimension ref="A1:F14"/>
  <sheetViews>
    <sheetView topLeftCell="A4" workbookViewId="0">
      <selection activeCell="D12" sqref="D12"/>
    </sheetView>
  </sheetViews>
  <sheetFormatPr defaultColWidth="9.33203125" defaultRowHeight="15" x14ac:dyDescent="0.25"/>
  <cols>
    <col min="1" max="1" width="9.33203125" style="3"/>
    <col min="2" max="2" width="15" style="3" customWidth="1"/>
    <col min="3" max="3" width="13" style="3" bestFit="1" customWidth="1"/>
    <col min="4" max="4" width="14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6" x14ac:dyDescent="0.25">
      <c r="B6" s="33"/>
      <c r="C6" s="4" t="s">
        <v>7</v>
      </c>
      <c r="D6" s="4" t="s">
        <v>8</v>
      </c>
      <c r="E6" s="4" t="s">
        <v>9</v>
      </c>
    </row>
    <row r="7" spans="1:6" x14ac:dyDescent="0.25">
      <c r="B7" s="4" t="s">
        <v>2</v>
      </c>
      <c r="C7" s="36">
        <v>0.32469012958724708</v>
      </c>
      <c r="D7" s="37">
        <f>'Sales %'!H6</f>
        <v>0.31695711820870948</v>
      </c>
      <c r="E7" s="34">
        <f>(D7-C7)/C7</f>
        <v>-2.3816589030186932E-2</v>
      </c>
    </row>
    <row r="8" spans="1:6" x14ac:dyDescent="0.25">
      <c r="B8" s="4" t="s">
        <v>10</v>
      </c>
      <c r="C8" s="36">
        <v>0.11911757788890198</v>
      </c>
      <c r="D8" s="37">
        <f>'Sales %'!H7</f>
        <v>0.12360904867606727</v>
      </c>
      <c r="E8" s="34">
        <f>(D8-C8)/C8</f>
        <v>3.7706196404987118E-2</v>
      </c>
    </row>
    <row r="9" spans="1:6" x14ac:dyDescent="0.25">
      <c r="B9" s="4" t="s">
        <v>11</v>
      </c>
      <c r="C9" s="36">
        <v>0.5397275811009683</v>
      </c>
      <c r="D9" s="37">
        <f>'Sales %'!H8</f>
        <v>0.54088534529479504</v>
      </c>
      <c r="E9" s="34">
        <f>(D9-C9)/C9</f>
        <v>2.1450899201131469E-3</v>
      </c>
    </row>
    <row r="10" spans="1:6" x14ac:dyDescent="0.25">
      <c r="B10" s="4" t="s">
        <v>3</v>
      </c>
      <c r="C10" s="36">
        <v>1.6464711422882472E-2</v>
      </c>
      <c r="D10" s="37">
        <f>'Sales %'!H9</f>
        <v>1.8548487820428158E-2</v>
      </c>
      <c r="E10" s="34">
        <f>(D10-C10)/C10</f>
        <v>0.12656015304645285</v>
      </c>
    </row>
    <row r="11" spans="1:6" x14ac:dyDescent="0.25">
      <c r="B11" s="15" t="s">
        <v>12</v>
      </c>
      <c r="C11" s="37">
        <v>0</v>
      </c>
      <c r="D11" s="37">
        <v>0</v>
      </c>
      <c r="E11" s="34"/>
    </row>
    <row r="13" spans="1:6" x14ac:dyDescent="0.25">
      <c r="B13" s="12" t="s">
        <v>21</v>
      </c>
    </row>
    <row r="14" spans="1:6" x14ac:dyDescent="0.25">
      <c r="B14" s="4"/>
      <c r="C14" s="17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B8F3-74EB-456B-8049-D359E4D5CEDB}">
  <dimension ref="A1:F15"/>
  <sheetViews>
    <sheetView workbookViewId="0">
      <selection activeCell="C9" sqref="C9"/>
    </sheetView>
  </sheetViews>
  <sheetFormatPr defaultColWidth="9.33203125" defaultRowHeight="15" x14ac:dyDescent="0.25"/>
  <cols>
    <col min="1" max="1" width="9.33203125" style="3"/>
    <col min="2" max="2" width="15" style="3" customWidth="1"/>
    <col min="3" max="3" width="13" style="3" bestFit="1" customWidth="1"/>
    <col min="4" max="4" width="14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5" spans="1:6" x14ac:dyDescent="0.25">
      <c r="B5" s="21"/>
      <c r="C5" s="21"/>
      <c r="D5" s="21"/>
      <c r="E5" s="21"/>
    </row>
    <row r="6" spans="1:6" x14ac:dyDescent="0.25">
      <c r="B6" s="80"/>
      <c r="C6" s="15" t="s">
        <v>7</v>
      </c>
      <c r="D6" s="15" t="s">
        <v>8</v>
      </c>
      <c r="E6" s="15" t="s">
        <v>9</v>
      </c>
    </row>
    <row r="7" spans="1:6" x14ac:dyDescent="0.25">
      <c r="B7" s="15" t="s">
        <v>2</v>
      </c>
      <c r="C7" s="37">
        <v>0.43129445257131888</v>
      </c>
      <c r="D7" s="37">
        <v>0.43391215773291392</v>
      </c>
      <c r="E7" s="81">
        <f>(D7-C7)/C7</f>
        <v>6.0694153286429695E-3</v>
      </c>
    </row>
    <row r="8" spans="1:6" x14ac:dyDescent="0.25">
      <c r="B8" s="15" t="s">
        <v>10</v>
      </c>
      <c r="C8" s="37">
        <v>0.10527100527405202</v>
      </c>
      <c r="D8" s="37">
        <v>0.10650485421470869</v>
      </c>
      <c r="E8" s="81">
        <f>(D8-C8)/C8</f>
        <v>1.1720691157499581E-2</v>
      </c>
    </row>
    <row r="9" spans="1:6" x14ac:dyDescent="0.25">
      <c r="B9" s="15" t="s">
        <v>11</v>
      </c>
      <c r="C9" s="37">
        <v>0.4499459816878954</v>
      </c>
      <c r="D9" s="37">
        <v>0.44608913213241275</v>
      </c>
      <c r="E9" s="81">
        <f>(D9-C9)/C9</f>
        <v>-8.5718057554694544E-3</v>
      </c>
    </row>
    <row r="10" spans="1:6" x14ac:dyDescent="0.25">
      <c r="B10" s="15" t="s">
        <v>3</v>
      </c>
      <c r="C10" s="37">
        <v>1.0561380974623356E-2</v>
      </c>
      <c r="D10" s="37">
        <v>1.0741638480086612E-2</v>
      </c>
      <c r="E10" s="81">
        <f>(D10-C10)/C10</f>
        <v>1.7067607531285403E-2</v>
      </c>
    </row>
    <row r="11" spans="1:6" x14ac:dyDescent="0.25">
      <c r="B11" s="15" t="s">
        <v>12</v>
      </c>
      <c r="C11" s="37">
        <v>2.9271794921103471E-3</v>
      </c>
      <c r="D11" s="37">
        <v>2.7522174398781477E-3</v>
      </c>
      <c r="E11" s="81"/>
    </row>
    <row r="13" spans="1:6" x14ac:dyDescent="0.25">
      <c r="B13" s="107" t="s">
        <v>114</v>
      </c>
    </row>
    <row r="14" spans="1:6" x14ac:dyDescent="0.25">
      <c r="B14" s="107" t="s">
        <v>115</v>
      </c>
    </row>
    <row r="15" spans="1:6" x14ac:dyDescent="0.25">
      <c r="B15" s="4"/>
      <c r="C15" s="17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N37"/>
  <sheetViews>
    <sheetView zoomScale="85" zoomScaleNormal="85" workbookViewId="0">
      <selection activeCell="D18" sqref="D18"/>
    </sheetView>
  </sheetViews>
  <sheetFormatPr defaultColWidth="9.33203125" defaultRowHeight="15" x14ac:dyDescent="0.25"/>
  <cols>
    <col min="1" max="1" width="9.33203125" style="3"/>
    <col min="2" max="2" width="28" style="3" customWidth="1"/>
    <col min="3" max="3" width="24.6640625" style="3" bestFit="1" customWidth="1"/>
    <col min="4" max="4" width="31.6640625" style="3" bestFit="1" customWidth="1"/>
    <col min="5" max="5" width="31.33203125" style="3" bestFit="1" customWidth="1"/>
    <col min="6" max="6" width="12.33203125" style="3" bestFit="1" customWidth="1"/>
    <col min="7" max="7" width="17" style="3" bestFit="1" customWidth="1"/>
    <col min="8" max="8" width="16.6640625" style="3" bestFit="1" customWidth="1"/>
    <col min="9" max="9" width="20.6640625" style="3" bestFit="1" customWidth="1"/>
    <col min="10" max="10" width="14" style="3" bestFit="1" customWidth="1"/>
    <col min="11" max="12" width="20" style="3" bestFit="1" customWidth="1"/>
    <col min="13" max="13" width="24" style="3" bestFit="1" customWidth="1"/>
    <col min="14" max="14" width="23" style="3" bestFit="1" customWidth="1"/>
    <col min="15" max="15" width="17" style="3" bestFit="1" customWidth="1"/>
    <col min="16" max="16" width="14" style="3" bestFit="1" customWidth="1"/>
    <col min="17" max="16384" width="9.33203125" style="3"/>
  </cols>
  <sheetData>
    <row r="1" spans="1:14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  <c r="G1" s="108"/>
      <c r="H1" s="108"/>
      <c r="I1" s="108"/>
    </row>
    <row r="2" spans="1:14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  <c r="G2" s="108"/>
      <c r="H2" s="108"/>
      <c r="I2" s="108"/>
    </row>
    <row r="3" spans="1:14" ht="15.75" thickBot="1" x14ac:dyDescent="0.3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  <c r="G3" s="109"/>
      <c r="H3" s="109"/>
      <c r="I3" s="109"/>
    </row>
    <row r="4" spans="1:14" ht="88.5" customHeight="1" thickBot="1" x14ac:dyDescent="0.3">
      <c r="B4" s="44" t="s">
        <v>99</v>
      </c>
    </row>
    <row r="5" spans="1:14" ht="30" customHeight="1" x14ac:dyDescent="0.25">
      <c r="A5" s="22"/>
      <c r="B5" s="22"/>
      <c r="C5" s="50" t="s">
        <v>79</v>
      </c>
      <c r="D5" s="50" t="s">
        <v>88</v>
      </c>
      <c r="E5" s="50" t="s">
        <v>91</v>
      </c>
      <c r="F5" s="4" t="s">
        <v>26</v>
      </c>
      <c r="G5" s="4" t="s">
        <v>27</v>
      </c>
      <c r="H5" s="69" t="s">
        <v>90</v>
      </c>
      <c r="I5" s="84"/>
      <c r="J5" s="84"/>
      <c r="M5" s="4"/>
      <c r="N5" s="4"/>
    </row>
    <row r="6" spans="1:14" x14ac:dyDescent="0.25">
      <c r="A6" s="22"/>
      <c r="B6" s="4" t="s">
        <v>2</v>
      </c>
      <c r="C6" s="45">
        <v>6824347300.4717293</v>
      </c>
      <c r="D6" s="45">
        <v>6652988141.1181479</v>
      </c>
      <c r="E6" s="45">
        <f>D6-D18</f>
        <v>5636285489.7572746</v>
      </c>
      <c r="F6" s="6">
        <f>D6/$D$11</f>
        <v>0.35197421781092891</v>
      </c>
      <c r="G6" s="6">
        <f>D6/$D$12</f>
        <v>0.35357920016305383</v>
      </c>
      <c r="H6" s="6">
        <f>E6/$E$11</f>
        <v>0.31695711820870948</v>
      </c>
      <c r="I6" s="85"/>
      <c r="J6" s="86"/>
      <c r="L6" s="4"/>
    </row>
    <row r="7" spans="1:14" x14ac:dyDescent="0.25">
      <c r="A7" s="22"/>
      <c r="B7" s="4" t="s">
        <v>10</v>
      </c>
      <c r="C7" s="45">
        <v>2281540064.3074284</v>
      </c>
      <c r="D7" s="45">
        <v>2200347912.2960796</v>
      </c>
      <c r="E7" s="45">
        <f>D7-D19</f>
        <v>2198076166.8739657</v>
      </c>
      <c r="F7" s="6">
        <f>D7/$D$11</f>
        <v>0.11640870521860885</v>
      </c>
      <c r="G7" s="6">
        <f>D7/$D$12</f>
        <v>0.11693952227297034</v>
      </c>
      <c r="H7" s="6">
        <f>E7/$E$11</f>
        <v>0.12360904867606727</v>
      </c>
      <c r="I7" s="85"/>
      <c r="J7" s="86"/>
      <c r="L7" s="4"/>
    </row>
    <row r="8" spans="1:14" x14ac:dyDescent="0.25">
      <c r="A8" s="22"/>
      <c r="B8" s="4" t="s">
        <v>11</v>
      </c>
      <c r="C8" s="45">
        <v>9547826937.2094955</v>
      </c>
      <c r="D8" s="45">
        <v>9632944256.333025</v>
      </c>
      <c r="E8" s="45">
        <f>D8-D20</f>
        <v>9618286033.5699387</v>
      </c>
      <c r="F8" s="6">
        <f>D8/$D$11</f>
        <v>0.50962784660386562</v>
      </c>
      <c r="G8" s="6">
        <f>D8/$D$12</f>
        <v>0.51195172050871518</v>
      </c>
      <c r="H8" s="6">
        <f>E8/$E$11</f>
        <v>0.54088534529479504</v>
      </c>
      <c r="I8" s="85"/>
      <c r="J8" s="86"/>
      <c r="L8" s="4"/>
    </row>
    <row r="9" spans="1:14" x14ac:dyDescent="0.25">
      <c r="A9" s="22"/>
      <c r="B9" s="13" t="s">
        <v>3</v>
      </c>
      <c r="C9" s="45">
        <v>335163783.59592795</v>
      </c>
      <c r="D9" s="45">
        <v>329838223.38509023</v>
      </c>
      <c r="E9" s="45">
        <f>D9-D21</f>
        <v>329838223.38509023</v>
      </c>
      <c r="F9" s="6">
        <f>D9/$D$11</f>
        <v>1.744998611414959E-2</v>
      </c>
      <c r="G9" s="6">
        <f>D9/$D$12</f>
        <v>1.7529557055260624E-2</v>
      </c>
      <c r="H9" s="6">
        <f>E9/$E$11</f>
        <v>1.8548487820428158E-2</v>
      </c>
      <c r="I9" s="85"/>
      <c r="J9" s="86"/>
      <c r="L9" s="4"/>
      <c r="N9" s="40"/>
    </row>
    <row r="10" spans="1:14" x14ac:dyDescent="0.25">
      <c r="A10" s="22"/>
      <c r="B10" s="4" t="s">
        <v>12</v>
      </c>
      <c r="C10" s="45">
        <v>79987055</v>
      </c>
      <c r="D10" s="45">
        <v>85800427</v>
      </c>
      <c r="E10" s="46" t="s">
        <v>28</v>
      </c>
      <c r="F10" s="6">
        <f>D10/$D$11</f>
        <v>4.5392442524470151E-3</v>
      </c>
      <c r="G10" s="68" t="s">
        <v>28</v>
      </c>
      <c r="H10" s="6" t="s">
        <v>28</v>
      </c>
      <c r="I10" s="85"/>
      <c r="J10" s="86"/>
      <c r="L10" s="4"/>
      <c r="N10" s="43"/>
    </row>
    <row r="11" spans="1:14" x14ac:dyDescent="0.25">
      <c r="A11" s="22"/>
      <c r="B11" s="26" t="s">
        <v>6</v>
      </c>
      <c r="C11" s="45">
        <f>SUM(C6:C10)</f>
        <v>19068865140.584583</v>
      </c>
      <c r="D11" s="45">
        <f>SUM(D6:D10)</f>
        <v>18901918960.132343</v>
      </c>
      <c r="E11" s="45">
        <f>SUM(E6:E10)</f>
        <v>17782485913.586269</v>
      </c>
      <c r="F11" s="6">
        <f t="shared" ref="F11" si="0">D11/$D$11</f>
        <v>1</v>
      </c>
      <c r="G11" s="63" t="s">
        <v>28</v>
      </c>
      <c r="H11" s="6">
        <f>E11/$E$11</f>
        <v>1</v>
      </c>
      <c r="I11" s="85"/>
      <c r="J11" s="86"/>
      <c r="L11" s="4"/>
    </row>
    <row r="12" spans="1:14" x14ac:dyDescent="0.25">
      <c r="A12" s="22"/>
      <c r="B12" s="23" t="s">
        <v>29</v>
      </c>
      <c r="C12" s="47">
        <f>C6+C7+C8+C9</f>
        <v>18988878085.584583</v>
      </c>
      <c r="D12" s="48">
        <f>SUM(D6:D9)</f>
        <v>18816118533.132343</v>
      </c>
      <c r="E12" s="49" t="s">
        <v>28</v>
      </c>
      <c r="F12" s="6" t="s">
        <v>28</v>
      </c>
      <c r="G12" s="6">
        <f>D12/$D$12</f>
        <v>1</v>
      </c>
      <c r="H12" s="6" t="s">
        <v>28</v>
      </c>
      <c r="I12" s="21"/>
      <c r="J12" s="21"/>
      <c r="L12" s="4"/>
    </row>
    <row r="13" spans="1:14" x14ac:dyDescent="0.25">
      <c r="A13" s="22"/>
      <c r="B13" s="22"/>
      <c r="D13" s="22"/>
      <c r="E13" s="22"/>
      <c r="L13" s="4"/>
    </row>
    <row r="14" spans="1:14" x14ac:dyDescent="0.25">
      <c r="A14" s="22"/>
      <c r="B14" s="22"/>
      <c r="C14" s="22"/>
      <c r="D14" s="27"/>
      <c r="E14" s="22"/>
    </row>
    <row r="15" spans="1:14" x14ac:dyDescent="0.25">
      <c r="A15" s="22"/>
      <c r="B15" s="28"/>
      <c r="C15" s="4"/>
      <c r="D15" s="22"/>
      <c r="E15" s="22"/>
    </row>
    <row r="16" spans="1:14" x14ac:dyDescent="0.25">
      <c r="C16" s="4"/>
    </row>
    <row r="17" spans="2:12" x14ac:dyDescent="0.25">
      <c r="C17" s="42" t="s">
        <v>7</v>
      </c>
      <c r="D17" s="51" t="s">
        <v>89</v>
      </c>
      <c r="E17" s="4" t="s">
        <v>109</v>
      </c>
      <c r="F17" s="21"/>
      <c r="G17" s="21"/>
    </row>
    <row r="18" spans="2:12" x14ac:dyDescent="0.25">
      <c r="B18" s="4" t="s">
        <v>2</v>
      </c>
      <c r="C18" s="6">
        <v>0.34517525554754974</v>
      </c>
      <c r="D18" s="45">
        <v>1016702651.3608736</v>
      </c>
      <c r="E18" s="45">
        <v>41096372.170683041</v>
      </c>
      <c r="F18" s="21"/>
      <c r="G18" s="24">
        <v>1001017331.558758</v>
      </c>
      <c r="L18" s="24"/>
    </row>
    <row r="19" spans="2:12" x14ac:dyDescent="0.25">
      <c r="B19" s="4" t="s">
        <v>10</v>
      </c>
      <c r="C19" s="6">
        <v>0.15129290216594399</v>
      </c>
      <c r="D19" s="67">
        <v>2271745.422114118</v>
      </c>
      <c r="E19" s="67">
        <v>0</v>
      </c>
      <c r="F19" s="15"/>
      <c r="G19" s="24">
        <v>2248194.1125214207</v>
      </c>
      <c r="L19" s="24"/>
    </row>
    <row r="20" spans="2:12" x14ac:dyDescent="0.25">
      <c r="B20" s="4" t="s">
        <v>11</v>
      </c>
      <c r="C20" s="6">
        <v>0.49283247057136387</v>
      </c>
      <c r="D20" s="67">
        <v>14658222.763086554</v>
      </c>
      <c r="E20" s="67">
        <v>0</v>
      </c>
      <c r="F20" s="70"/>
      <c r="G20" s="24">
        <v>14672124.389632136</v>
      </c>
    </row>
    <row r="21" spans="2:12" x14ac:dyDescent="0.25">
      <c r="B21" s="4" t="s">
        <v>3</v>
      </c>
      <c r="C21" s="6">
        <v>6.0292485077886619E-3</v>
      </c>
      <c r="D21" s="45">
        <v>0</v>
      </c>
      <c r="E21" s="45">
        <v>0</v>
      </c>
      <c r="F21" s="70"/>
      <c r="G21" s="24"/>
    </row>
    <row r="22" spans="2:12" x14ac:dyDescent="0.25">
      <c r="B22" s="4" t="s">
        <v>12</v>
      </c>
      <c r="C22" s="6">
        <v>4.6701232073534608E-3</v>
      </c>
      <c r="D22" s="45">
        <v>0</v>
      </c>
      <c r="E22" s="45">
        <v>0</v>
      </c>
      <c r="F22" s="70"/>
      <c r="G22" s="24"/>
    </row>
    <row r="23" spans="2:12" x14ac:dyDescent="0.25">
      <c r="B23" s="13" t="s">
        <v>6</v>
      </c>
      <c r="C23" s="6">
        <f>SUM(C18:C22)</f>
        <v>0.99999999999999967</v>
      </c>
      <c r="D23" s="45">
        <f>SUM(D18:D22)</f>
        <v>1033632619.5460743</v>
      </c>
      <c r="E23" s="45">
        <f>SUM(E18:E22)</f>
        <v>41096372.170683041</v>
      </c>
      <c r="F23" s="70"/>
      <c r="G23" s="24"/>
    </row>
    <row r="24" spans="2:12" x14ac:dyDescent="0.25">
      <c r="B24" s="4"/>
      <c r="D24" s="24"/>
      <c r="E24" s="24"/>
      <c r="F24" s="70"/>
      <c r="G24" s="21"/>
    </row>
    <row r="25" spans="2:12" x14ac:dyDescent="0.25">
      <c r="B25" s="26"/>
      <c r="D25" s="24"/>
      <c r="E25" s="24"/>
      <c r="F25" s="25"/>
    </row>
    <row r="26" spans="2:12" x14ac:dyDescent="0.25">
      <c r="B26" s="29"/>
      <c r="D26" s="27"/>
      <c r="E26" s="27"/>
      <c r="F26" s="5"/>
      <c r="G26" s="73"/>
    </row>
    <row r="27" spans="2:12" x14ac:dyDescent="0.25">
      <c r="B27" s="12"/>
      <c r="D27" s="22"/>
      <c r="E27" s="22"/>
    </row>
    <row r="29" spans="2:12" ht="30" customHeight="1" x14ac:dyDescent="0.25">
      <c r="B29" s="21"/>
      <c r="C29" s="50"/>
      <c r="D29" s="50"/>
    </row>
    <row r="30" spans="2:12" x14ac:dyDescent="0.25">
      <c r="B30" s="15"/>
      <c r="C30" s="71"/>
      <c r="D30" s="71"/>
    </row>
    <row r="31" spans="2:12" x14ac:dyDescent="0.25">
      <c r="B31" s="15"/>
      <c r="C31" s="72"/>
      <c r="D31" s="72"/>
      <c r="E31" s="38"/>
      <c r="F31" s="39"/>
      <c r="G31" s="39"/>
      <c r="H31" s="39"/>
    </row>
    <row r="32" spans="2:12" x14ac:dyDescent="0.25">
      <c r="B32" s="4"/>
      <c r="C32" s="38"/>
      <c r="D32" s="38"/>
      <c r="E32" s="38"/>
      <c r="F32" s="39"/>
      <c r="G32" s="39"/>
      <c r="H32" s="39"/>
    </row>
    <row r="33" spans="3:8" x14ac:dyDescent="0.25">
      <c r="C33" s="38"/>
      <c r="D33" s="38"/>
      <c r="E33" s="38"/>
      <c r="F33" s="39"/>
      <c r="G33" s="39"/>
      <c r="H33" s="39"/>
    </row>
    <row r="34" spans="3:8" x14ac:dyDescent="0.25">
      <c r="C34" s="38"/>
      <c r="D34" s="38"/>
      <c r="E34" s="38"/>
      <c r="F34" s="39"/>
      <c r="G34" s="39"/>
      <c r="H34" s="39"/>
    </row>
    <row r="35" spans="3:8" x14ac:dyDescent="0.25">
      <c r="C35" s="38"/>
      <c r="D35" s="38"/>
      <c r="E35" s="38"/>
      <c r="F35" s="39"/>
      <c r="G35" s="39"/>
      <c r="H35" s="39"/>
    </row>
    <row r="36" spans="3:8" x14ac:dyDescent="0.25">
      <c r="C36" s="38"/>
      <c r="D36" s="38"/>
      <c r="E36" s="38"/>
      <c r="F36" s="39"/>
      <c r="G36" s="39"/>
      <c r="H36" s="39"/>
    </row>
    <row r="37" spans="3:8" x14ac:dyDescent="0.25">
      <c r="C37" s="38"/>
      <c r="D37" s="38"/>
      <c r="E37" s="38"/>
      <c r="F37" s="39"/>
      <c r="G37" s="39"/>
      <c r="H37" s="39"/>
    </row>
  </sheetData>
  <mergeCells count="3">
    <mergeCell ref="A1:I1"/>
    <mergeCell ref="A2:I2"/>
    <mergeCell ref="A3:I3"/>
  </mergeCells>
  <pageMargins left="0.7" right="0.7" top="0.75" bottom="0.75" header="0.3" footer="0.3"/>
  <pageSetup orientation="portrait" r:id="rId1"/>
  <headerFooter>
    <oddFooter>&amp;L&amp;F
&amp;A&amp;R&amp;P of &amp;N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O109"/>
  <sheetViews>
    <sheetView zoomScale="90" zoomScaleNormal="90" workbookViewId="0">
      <selection activeCell="F41" sqref="F41"/>
    </sheetView>
  </sheetViews>
  <sheetFormatPr defaultRowHeight="11.25" x14ac:dyDescent="0.2"/>
  <cols>
    <col min="1" max="1" width="13.6640625" bestFit="1" customWidth="1"/>
    <col min="2" max="2" width="112" style="41" customWidth="1"/>
    <col min="3" max="3" width="20.33203125" bestFit="1" customWidth="1"/>
    <col min="4" max="4" width="22.6640625" bestFit="1" customWidth="1"/>
    <col min="5" max="5" width="12.6640625" bestFit="1" customWidth="1"/>
    <col min="6" max="6" width="31" customWidth="1"/>
    <col min="7" max="7" width="20.33203125" bestFit="1" customWidth="1"/>
    <col min="9" max="9" width="15.33203125" bestFit="1" customWidth="1"/>
    <col min="10" max="10" width="11.33203125" bestFit="1" customWidth="1"/>
    <col min="11" max="11" width="12.33203125" bestFit="1" customWidth="1"/>
    <col min="13" max="13" width="14" bestFit="1" customWidth="1"/>
    <col min="15" max="15" width="15" bestFit="1" customWidth="1"/>
  </cols>
  <sheetData>
    <row r="1" spans="1:15" x14ac:dyDescent="0.2">
      <c r="A1" s="110" t="str">
        <f>'Distribution 1 Year'!A1:F1</f>
        <v>SAN DIEGO GAS &amp; ELECTRIC COMPANY</v>
      </c>
      <c r="B1" s="110"/>
      <c r="C1" s="110"/>
      <c r="D1" s="110"/>
      <c r="E1" s="110"/>
      <c r="F1" s="110"/>
      <c r="G1" s="110"/>
    </row>
    <row r="2" spans="1:15" x14ac:dyDescent="0.2">
      <c r="A2" s="110" t="str">
        <f>'Distribution 1 Year'!A2:F2</f>
        <v>TEST YEAR 2019 GENERAL RATE CASE PHASE 2, APPLICATION 19-03-002</v>
      </c>
      <c r="B2" s="110"/>
      <c r="C2" s="110"/>
      <c r="D2" s="110"/>
      <c r="E2" s="110"/>
      <c r="F2" s="110"/>
      <c r="G2" s="110"/>
    </row>
    <row r="3" spans="1:15" ht="12" thickBot="1" x14ac:dyDescent="0.25">
      <c r="A3" s="110" t="str">
        <f>'Distribution 1 Year'!A3:F3</f>
        <v>REVENUE ALLOCATION WORKPAPERS - CHAPTER 2</v>
      </c>
      <c r="B3" s="110"/>
      <c r="C3" s="110"/>
      <c r="D3" s="110"/>
      <c r="E3" s="110"/>
      <c r="F3" s="110"/>
      <c r="G3" s="111"/>
    </row>
    <row r="4" spans="1:15" ht="34.5" thickBot="1" x14ac:dyDescent="0.25">
      <c r="B4" s="44" t="s">
        <v>100</v>
      </c>
      <c r="E4" s="74"/>
    </row>
    <row r="5" spans="1:15" x14ac:dyDescent="0.2">
      <c r="A5" t="s">
        <v>48</v>
      </c>
      <c r="E5" s="74"/>
    </row>
    <row r="7" spans="1:15" ht="12.75" x14ac:dyDescent="0.2">
      <c r="C7" s="41" t="s">
        <v>49</v>
      </c>
      <c r="D7" s="41" t="s">
        <v>43</v>
      </c>
      <c r="E7" s="41" t="s">
        <v>45</v>
      </c>
      <c r="F7" s="41" t="s">
        <v>88</v>
      </c>
      <c r="G7" s="41" t="s">
        <v>53</v>
      </c>
      <c r="K7" s="2"/>
    </row>
    <row r="8" spans="1:15" ht="15" x14ac:dyDescent="0.25">
      <c r="B8" s="41" t="s">
        <v>2</v>
      </c>
      <c r="C8" s="1">
        <v>-5986495.1784577724</v>
      </c>
      <c r="D8" s="65">
        <f>'PPP-EE and EPEEBA'!C7</f>
        <v>0.46049962911213632</v>
      </c>
      <c r="E8" s="2">
        <v>-8.7722604300105762E-4</v>
      </c>
      <c r="F8" s="45">
        <f>'Sales %'!D6</f>
        <v>6652988141.1181479</v>
      </c>
      <c r="G8" s="1">
        <f t="shared" ref="G8:G13" si="0">E8*F8</f>
        <v>-5836174.4611660345</v>
      </c>
    </row>
    <row r="9" spans="1:15" ht="15" x14ac:dyDescent="0.25">
      <c r="B9" s="41" t="s">
        <v>5</v>
      </c>
      <c r="C9" s="1">
        <v>-1469282.0853360288</v>
      </c>
      <c r="D9" s="65">
        <f>'PPP-EE and EPEEBA'!C8</f>
        <v>0.11302169887200222</v>
      </c>
      <c r="E9" s="2">
        <v>-6.4398697543014045E-4</v>
      </c>
      <c r="F9" s="45">
        <f>'Sales %'!D7</f>
        <v>2200347912.2960796</v>
      </c>
      <c r="G9" s="1">
        <f t="shared" si="0"/>
        <v>-1416995.3969335763</v>
      </c>
      <c r="M9" s="74"/>
    </row>
    <row r="10" spans="1:15" ht="14.65" customHeight="1" x14ac:dyDescent="0.25">
      <c r="B10" s="41" t="s">
        <v>96</v>
      </c>
      <c r="C10" s="1">
        <v>-5387901.8452195255</v>
      </c>
      <c r="D10" s="65">
        <f>'PPP-EE and EPEEBA'!C9</f>
        <v>0.41445398809380962</v>
      </c>
      <c r="E10" s="2">
        <v>-5.6430660931043499E-4</v>
      </c>
      <c r="F10" s="45">
        <f>'Sales %'!D8</f>
        <v>9632944256.333025</v>
      </c>
      <c r="G10" s="1">
        <f t="shared" si="0"/>
        <v>-5435934.110967719</v>
      </c>
      <c r="O10" s="24"/>
    </row>
    <row r="11" spans="1:15" ht="15" x14ac:dyDescent="0.25">
      <c r="B11" s="41" t="s">
        <v>3</v>
      </c>
      <c r="C11" s="1">
        <v>-145348.17341609293</v>
      </c>
      <c r="D11" s="65">
        <f>'PPP-EE and EPEEBA'!C10</f>
        <v>1.118062872431484E-2</v>
      </c>
      <c r="E11" s="2">
        <v>-4.3366312391115644E-4</v>
      </c>
      <c r="F11" s="45">
        <f>'Sales %'!D9</f>
        <v>329838223.38509023</v>
      </c>
      <c r="G11" s="1">
        <f t="shared" si="0"/>
        <v>-143038.6743384841</v>
      </c>
    </row>
    <row r="12" spans="1:15" ht="15" x14ac:dyDescent="0.25">
      <c r="B12" s="41" t="s">
        <v>12</v>
      </c>
      <c r="C12" s="1">
        <v>-10972.717570580229</v>
      </c>
      <c r="D12" s="65">
        <f>'PPP-EE and EPEEBA'!C11</f>
        <v>8.4405519773694078E-4</v>
      </c>
      <c r="E12" s="2">
        <v>-1.371811672598801E-4</v>
      </c>
      <c r="F12" s="45">
        <f>'Sales %'!D10</f>
        <v>85800427</v>
      </c>
      <c r="G12" s="1">
        <f t="shared" si="0"/>
        <v>-11770.202727256132</v>
      </c>
    </row>
    <row r="13" spans="1:15" ht="15" x14ac:dyDescent="0.25">
      <c r="B13" s="41" t="s">
        <v>4</v>
      </c>
      <c r="C13" s="1">
        <f>SUM(C8:C12)</f>
        <v>-13000000</v>
      </c>
      <c r="D13" s="30">
        <f>SUM(D8:D12)</f>
        <v>0.99999999999999989</v>
      </c>
      <c r="E13" s="2">
        <v>-6.8173957412556653E-4</v>
      </c>
      <c r="F13" s="45">
        <f>SUM(F8:F12)</f>
        <v>18901918960.132343</v>
      </c>
      <c r="G13" s="1">
        <f t="shared" si="0"/>
        <v>-12886186.182036595</v>
      </c>
    </row>
    <row r="15" spans="1:15" x14ac:dyDescent="0.2">
      <c r="A15" t="s">
        <v>47</v>
      </c>
    </row>
    <row r="17" spans="1:7" x14ac:dyDescent="0.2">
      <c r="C17" s="41" t="s">
        <v>49</v>
      </c>
      <c r="D17" s="41" t="s">
        <v>43</v>
      </c>
      <c r="E17" s="41" t="s">
        <v>45</v>
      </c>
      <c r="F17" s="41" t="str">
        <f>F7</f>
        <v>Updated System Sales (2020 TY)</v>
      </c>
      <c r="G17" s="41" t="str">
        <f>G7</f>
        <v>Updated Revenues</v>
      </c>
    </row>
    <row r="18" spans="1:7" ht="15" x14ac:dyDescent="0.25">
      <c r="B18" s="41" t="s">
        <v>2</v>
      </c>
      <c r="C18" s="1">
        <v>38860488.894638836</v>
      </c>
      <c r="D18" s="65">
        <f>'PPP-EE and EPEEBA'!C7</f>
        <v>0.46049962911213632</v>
      </c>
      <c r="E18" s="2">
        <v>5.6943891017903758E-3</v>
      </c>
      <c r="F18" s="45">
        <f>'Sales %'!D6</f>
        <v>6652988141.1181479</v>
      </c>
      <c r="G18" s="1">
        <f>F18*E18</f>
        <v>37884703.165123791</v>
      </c>
    </row>
    <row r="19" spans="1:7" ht="15" x14ac:dyDescent="0.25">
      <c r="B19" s="41" t="s">
        <v>5</v>
      </c>
      <c r="C19" s="1">
        <v>9537637.3751631007</v>
      </c>
      <c r="D19" s="65">
        <f>'PPP-EE and EPEEBA'!C8</f>
        <v>0.11302169887200222</v>
      </c>
      <c r="E19" s="2">
        <v>4.1803505993037613E-3</v>
      </c>
      <c r="F19" s="45">
        <f>'Sales %'!D7</f>
        <v>2200347912.2960796</v>
      </c>
      <c r="G19" s="1">
        <f t="shared" ref="G19:G22" si="1">F19*E19</f>
        <v>9198225.7138436958</v>
      </c>
    </row>
    <row r="20" spans="1:7" ht="15" x14ac:dyDescent="0.25">
      <c r="B20" s="41" t="s">
        <v>11</v>
      </c>
      <c r="C20" s="1">
        <v>34974804.719628386</v>
      </c>
      <c r="D20" s="65">
        <f>'PPP-EE and EPEEBA'!C9</f>
        <v>0.41445398809380962</v>
      </c>
      <c r="E20" s="2">
        <v>3.6631167436985751E-3</v>
      </c>
      <c r="F20" s="45">
        <f>'Sales %'!D8</f>
        <v>9632944256.333025</v>
      </c>
      <c r="G20" s="1">
        <f>F20*E20</f>
        <v>35286599.396488525</v>
      </c>
    </row>
    <row r="21" spans="1:7" ht="15" x14ac:dyDescent="0.25">
      <c r="B21" s="41" t="s">
        <v>3</v>
      </c>
      <c r="C21" s="1">
        <v>943507.16245748685</v>
      </c>
      <c r="D21" s="65">
        <f>'PPP-EE and EPEEBA'!C10</f>
        <v>1.118062872431484E-2</v>
      </c>
      <c r="E21" s="2">
        <v>2.8150629890100988E-3</v>
      </c>
      <c r="F21" s="45">
        <f>'Sales %'!D9</f>
        <v>329838223.38509023</v>
      </c>
      <c r="G21" s="1">
        <f t="shared" si="1"/>
        <v>928515.37501221278</v>
      </c>
    </row>
    <row r="22" spans="1:7" ht="15" x14ac:dyDescent="0.25">
      <c r="B22" s="41" t="s">
        <v>12</v>
      </c>
      <c r="C22" s="1">
        <v>71227.84811218892</v>
      </c>
      <c r="D22" s="65">
        <f>'PPP-EE and EPEEBA'!C11</f>
        <v>8.4405519773694078E-4</v>
      </c>
      <c r="E22" s="2">
        <v>8.9049219417053067E-4</v>
      </c>
      <c r="F22" s="45">
        <f>'Sales %'!D10</f>
        <v>85800427</v>
      </c>
      <c r="G22" s="1">
        <f t="shared" si="1"/>
        <v>76404.610499998438</v>
      </c>
    </row>
    <row r="23" spans="1:7" ht="15" x14ac:dyDescent="0.25">
      <c r="B23" s="41" t="s">
        <v>4</v>
      </c>
      <c r="C23" s="1">
        <f>SUM(C18:C22)</f>
        <v>84387666</v>
      </c>
      <c r="D23" s="30">
        <f>SUM(D18:D22)</f>
        <v>0.99999999999999989</v>
      </c>
      <c r="E23" s="2">
        <v>4.4254162677146575E-3</v>
      </c>
      <c r="F23" s="45">
        <f>SUM(F18:F22)</f>
        <v>18901918960.132343</v>
      </c>
      <c r="G23" s="1">
        <f>F23*E23</f>
        <v>83648859.657193795</v>
      </c>
    </row>
    <row r="25" spans="1:7" x14ac:dyDescent="0.2">
      <c r="A25" t="s">
        <v>40</v>
      </c>
    </row>
    <row r="27" spans="1:7" x14ac:dyDescent="0.2">
      <c r="C27" s="41" t="s">
        <v>49</v>
      </c>
      <c r="D27" s="41" t="s">
        <v>43</v>
      </c>
      <c r="E27" s="41" t="s">
        <v>45</v>
      </c>
      <c r="F27" s="41" t="str">
        <f>F7</f>
        <v>Updated System Sales (2020 TY)</v>
      </c>
      <c r="G27" s="41" t="str">
        <f>G7</f>
        <v>Updated Revenues</v>
      </c>
    </row>
    <row r="28" spans="1:7" ht="15" x14ac:dyDescent="0.25">
      <c r="B28" s="41" t="s">
        <v>2</v>
      </c>
      <c r="C28" s="1">
        <v>40298016.366752341</v>
      </c>
      <c r="D28" s="30">
        <f>'PPP - CARE'!C7</f>
        <v>0.32469012958724708</v>
      </c>
      <c r="E28" s="2">
        <v>6.9391815210577577E-3</v>
      </c>
      <c r="F28" s="45">
        <f>'Sales %'!E6</f>
        <v>5636285489.7572746</v>
      </c>
      <c r="G28" s="1">
        <f>E28*F28</f>
        <v>39111208.117929652</v>
      </c>
    </row>
    <row r="29" spans="1:7" ht="15" x14ac:dyDescent="0.25">
      <c r="B29" s="41" t="s">
        <v>5</v>
      </c>
      <c r="C29" s="1">
        <v>14783948.343107896</v>
      </c>
      <c r="D29" s="30">
        <f>'PPP - CARE'!C8</f>
        <v>0.11911757788890198</v>
      </c>
      <c r="E29" s="2">
        <v>6.4861936181766552E-3</v>
      </c>
      <c r="F29" s="45">
        <f>'Sales %'!E7</f>
        <v>2198076166.8739657</v>
      </c>
      <c r="G29" s="1">
        <f t="shared" ref="G29:G33" si="2">E29*F29</f>
        <v>14257147.605844121</v>
      </c>
    </row>
    <row r="30" spans="1:7" ht="15" x14ac:dyDescent="0.25">
      <c r="B30" s="41" t="s">
        <v>11</v>
      </c>
      <c r="C30" s="1">
        <v>66986794.222674616</v>
      </c>
      <c r="D30" s="30">
        <f>'PPP - CARE'!C9</f>
        <v>0.5397275811009683</v>
      </c>
      <c r="E30" s="2">
        <v>7.0268936393588629E-3</v>
      </c>
      <c r="F30" s="45">
        <f>'Sales %'!E8</f>
        <v>9618286033.5699387</v>
      </c>
      <c r="G30" s="1">
        <f t="shared" si="2"/>
        <v>67586672.950826794</v>
      </c>
    </row>
    <row r="31" spans="1:7" ht="15" x14ac:dyDescent="0.25">
      <c r="B31" s="41" t="s">
        <v>3</v>
      </c>
      <c r="C31" s="1">
        <v>2043472.0674651281</v>
      </c>
      <c r="D31" s="30">
        <f>'PPP - CARE'!C10</f>
        <v>1.6464711422882472E-2</v>
      </c>
      <c r="E31" s="2">
        <v>6.0969357892460404E-3</v>
      </c>
      <c r="F31" s="45">
        <f>'Sales %'!E9</f>
        <v>329838223.38509023</v>
      </c>
      <c r="G31" s="1">
        <f t="shared" si="2"/>
        <v>2011002.4688178869</v>
      </c>
    </row>
    <row r="32" spans="1:7" ht="15" x14ac:dyDescent="0.25">
      <c r="B32" s="41" t="s">
        <v>12</v>
      </c>
      <c r="C32" s="1">
        <v>0</v>
      </c>
      <c r="D32" s="30">
        <f>'PPP - CARE'!C11</f>
        <v>0</v>
      </c>
      <c r="E32" s="2">
        <v>0</v>
      </c>
      <c r="F32" s="45">
        <v>0</v>
      </c>
      <c r="G32" s="75">
        <f t="shared" si="2"/>
        <v>0</v>
      </c>
    </row>
    <row r="33" spans="1:7" ht="15" x14ac:dyDescent="0.25">
      <c r="B33" s="41" t="s">
        <v>4</v>
      </c>
      <c r="C33" s="1">
        <f>SUM(C28:C32)</f>
        <v>124112230.99999997</v>
      </c>
      <c r="D33" s="30">
        <f>SUM(D28:D32)</f>
        <v>0.99999999999999978</v>
      </c>
      <c r="E33" s="2">
        <v>6.9125238109073953E-3</v>
      </c>
      <c r="F33" s="45">
        <f>SUM(F28:F32)</f>
        <v>17782485913.586269</v>
      </c>
      <c r="G33" s="1">
        <f t="shared" si="2"/>
        <v>122921857.29479043</v>
      </c>
    </row>
    <row r="34" spans="1:7" ht="15" x14ac:dyDescent="0.25">
      <c r="F34" s="24"/>
    </row>
    <row r="35" spans="1:7" x14ac:dyDescent="0.2">
      <c r="A35" t="s">
        <v>41</v>
      </c>
    </row>
    <row r="37" spans="1:7" x14ac:dyDescent="0.2">
      <c r="C37" s="41" t="s">
        <v>44</v>
      </c>
      <c r="D37" s="41" t="s">
        <v>43</v>
      </c>
      <c r="E37" s="41" t="s">
        <v>45</v>
      </c>
      <c r="F37" s="41" t="str">
        <f>F7</f>
        <v>Updated System Sales (2020 TY)</v>
      </c>
      <c r="G37" s="41" t="str">
        <f>G7</f>
        <v>Updated Revenues</v>
      </c>
    </row>
    <row r="38" spans="1:7" ht="15" x14ac:dyDescent="0.25">
      <c r="B38" s="41" t="s">
        <v>2</v>
      </c>
      <c r="C38" s="1">
        <v>4752147.7626280813</v>
      </c>
      <c r="D38" s="30">
        <f>'PPP - ESAP'!C7</f>
        <v>0.36151633453219451</v>
      </c>
      <c r="E38" s="2">
        <v>6.9635198113372483E-4</v>
      </c>
      <c r="F38" s="45">
        <f>'Sales %'!D6</f>
        <v>6652988141.1181479</v>
      </c>
      <c r="G38" s="1">
        <f>F38*E38</f>
        <v>4632821.4725267999</v>
      </c>
    </row>
    <row r="39" spans="1:7" ht="15" x14ac:dyDescent="0.25">
      <c r="B39" s="41" t="s">
        <v>5</v>
      </c>
      <c r="C39" s="1">
        <v>1480110.9417938516</v>
      </c>
      <c r="D39" s="30">
        <f>'PPP - ESAP'!C8</f>
        <v>0.11259841004657432</v>
      </c>
      <c r="E39" s="2">
        <v>6.4873326791355112E-4</v>
      </c>
      <c r="F39" s="45">
        <f>'Sales %'!D7</f>
        <v>2200347912.2960796</v>
      </c>
      <c r="G39" s="1">
        <f t="shared" ref="G39:G43" si="3">F39*E39</f>
        <v>1427438.8916905955</v>
      </c>
    </row>
    <row r="40" spans="1:7" ht="15" x14ac:dyDescent="0.25">
      <c r="B40" s="41" t="s">
        <v>96</v>
      </c>
      <c r="C40" s="1">
        <v>6708460.4692898961</v>
      </c>
      <c r="D40" s="30">
        <f>'PPP - ESAP'!C9</f>
        <v>0.51034146250338597</v>
      </c>
      <c r="E40" s="2">
        <v>7.0261647109939667E-4</v>
      </c>
      <c r="F40" s="45">
        <f>'Sales %'!D8</f>
        <v>9632944256.333025</v>
      </c>
      <c r="G40" s="1">
        <f t="shared" si="3"/>
        <v>6768265.2996819122</v>
      </c>
    </row>
    <row r="41" spans="1:7" ht="15" x14ac:dyDescent="0.25">
      <c r="B41" s="41" t="s">
        <v>3</v>
      </c>
      <c r="C41" s="1">
        <v>204323.82628817152</v>
      </c>
      <c r="D41" s="30">
        <f>'PPP - ESAP'!C10</f>
        <v>1.5543792917845268E-2</v>
      </c>
      <c r="E41" s="2">
        <v>6.0962382061691806E-4</v>
      </c>
      <c r="F41" s="45">
        <f>'Sales %'!D9</f>
        <v>329838223.38509023</v>
      </c>
      <c r="G41" s="1">
        <f t="shared" si="3"/>
        <v>201077.23792551519</v>
      </c>
    </row>
    <row r="42" spans="1:7" ht="15" x14ac:dyDescent="0.25">
      <c r="B42" s="41" t="s">
        <v>12</v>
      </c>
      <c r="C42" s="1">
        <v>0</v>
      </c>
      <c r="D42" s="30">
        <f>'PPP - ESAP'!C11</f>
        <v>0</v>
      </c>
      <c r="E42" s="2">
        <v>0</v>
      </c>
      <c r="F42" s="45">
        <v>0</v>
      </c>
      <c r="G42" s="1">
        <f t="shared" si="3"/>
        <v>0</v>
      </c>
    </row>
    <row r="43" spans="1:7" ht="15" x14ac:dyDescent="0.25">
      <c r="B43" s="41" t="s">
        <v>4</v>
      </c>
      <c r="C43" s="1">
        <f>SUM(C38:C42)</f>
        <v>13145043</v>
      </c>
      <c r="D43" s="30">
        <f>SUM(D38:D42)</f>
        <v>1</v>
      </c>
      <c r="E43" s="2">
        <v>6.9224958635018361E-4</v>
      </c>
      <c r="F43" s="45">
        <f>SUM(F38:F42)</f>
        <v>18816118533.132343</v>
      </c>
      <c r="G43" s="1">
        <f t="shared" si="3"/>
        <v>13025450.271276888</v>
      </c>
    </row>
    <row r="44" spans="1:7" ht="15" x14ac:dyDescent="0.25">
      <c r="F44" s="24"/>
    </row>
    <row r="45" spans="1:7" ht="15" x14ac:dyDescent="0.25">
      <c r="A45" t="s">
        <v>42</v>
      </c>
      <c r="F45" s="24"/>
    </row>
    <row r="47" spans="1:7" x14ac:dyDescent="0.2">
      <c r="C47" s="41" t="s">
        <v>44</v>
      </c>
      <c r="D47" s="41" t="s">
        <v>43</v>
      </c>
      <c r="E47" s="41" t="s">
        <v>45</v>
      </c>
      <c r="F47" s="41" t="str">
        <f>F7</f>
        <v>Updated System Sales (2020 TY)</v>
      </c>
      <c r="G47" s="41" t="s">
        <v>46</v>
      </c>
    </row>
    <row r="48" spans="1:7" ht="15" x14ac:dyDescent="0.25">
      <c r="B48" s="41" t="s">
        <v>2</v>
      </c>
      <c r="C48" s="1">
        <v>5859487.5621045781</v>
      </c>
      <c r="D48" s="30">
        <f>'PPP- EPIC'!C7</f>
        <v>0.35991938342165714</v>
      </c>
      <c r="E48" s="2">
        <v>8.5861508861067735E-4</v>
      </c>
      <c r="F48" s="45">
        <f>'Sales %'!D6</f>
        <v>6652988141.1181479</v>
      </c>
      <c r="G48" s="1">
        <f>F48*E48</f>
        <v>5712356.002311944</v>
      </c>
    </row>
    <row r="49" spans="1:12" ht="15" x14ac:dyDescent="0.25">
      <c r="B49" s="41" t="s">
        <v>5</v>
      </c>
      <c r="C49" s="1">
        <v>1825004.6267878893</v>
      </c>
      <c r="D49" s="30">
        <f>'PPP- EPIC'!C8</f>
        <v>0.1121010213014674</v>
      </c>
      <c r="E49" s="2">
        <v>7.9990031967371023E-4</v>
      </c>
      <c r="F49" s="45">
        <f>'Sales %'!D7</f>
        <v>2200347912.2960796</v>
      </c>
      <c r="G49" s="1">
        <f t="shared" ref="G49:G52" si="4">F49*E49</f>
        <v>1760058.9984390151</v>
      </c>
    </row>
    <row r="50" spans="1:12" ht="15" x14ac:dyDescent="0.25">
      <c r="B50" s="41" t="s">
        <v>96</v>
      </c>
      <c r="C50" s="1">
        <v>8271657.9206147827</v>
      </c>
      <c r="D50" s="30">
        <f>'PPP- EPIC'!C9</f>
        <v>0.50808709586085887</v>
      </c>
      <c r="E50" s="2">
        <v>8.6633932255084491E-4</v>
      </c>
      <c r="F50" s="45">
        <f>'Sales %'!D8</f>
        <v>9632944256.333025</v>
      </c>
      <c r="G50" s="1">
        <f t="shared" si="4"/>
        <v>8345398.4012016058</v>
      </c>
    </row>
    <row r="51" spans="1:12" ht="15" x14ac:dyDescent="0.25">
      <c r="B51" s="41" t="s">
        <v>3</v>
      </c>
      <c r="C51" s="1">
        <v>251935.12040859842</v>
      </c>
      <c r="D51" s="30">
        <f>'PPP- EPIC'!C10</f>
        <v>1.5475130246228404E-2</v>
      </c>
      <c r="E51" s="2">
        <v>7.5167763564911404E-4</v>
      </c>
      <c r="F51" s="45">
        <f>'Sales %'!D9</f>
        <v>329838223.38509023</v>
      </c>
      <c r="G51" s="1">
        <f t="shared" si="4"/>
        <v>247932.01590080894</v>
      </c>
    </row>
    <row r="52" spans="1:12" ht="15" x14ac:dyDescent="0.25">
      <c r="B52" s="41" t="s">
        <v>12</v>
      </c>
      <c r="C52" s="1">
        <v>71914.770084149175</v>
      </c>
      <c r="D52" s="30">
        <f>'PPP- EPIC'!C11</f>
        <v>4.4173691697880326E-3</v>
      </c>
      <c r="E52" s="2">
        <v>8.9908010845191359E-4</v>
      </c>
      <c r="F52" s="45">
        <f>'Sales %'!D10</f>
        <v>85800427</v>
      </c>
      <c r="G52" s="1">
        <f t="shared" si="4"/>
        <v>77141.457212380497</v>
      </c>
    </row>
    <row r="53" spans="1:12" ht="15" x14ac:dyDescent="0.25">
      <c r="B53" s="41" t="s">
        <v>4</v>
      </c>
      <c r="C53" s="1">
        <f>SUM(C48:C52)</f>
        <v>16279999.999999996</v>
      </c>
      <c r="D53" s="30">
        <f>SUM(D48:D52)</f>
        <v>0.99999999999999989</v>
      </c>
      <c r="E53" s="2">
        <v>8.5374771282801718E-4</v>
      </c>
      <c r="F53" s="45">
        <f>SUM(F48:F52)</f>
        <v>18901918960.132343</v>
      </c>
      <c r="G53" s="1">
        <f>F53*E53</f>
        <v>16137470.08027352</v>
      </c>
    </row>
    <row r="54" spans="1:12" ht="15" x14ac:dyDescent="0.25">
      <c r="F54" s="24"/>
      <c r="G54" s="1"/>
    </row>
    <row r="55" spans="1:12" ht="15" x14ac:dyDescent="0.25">
      <c r="A55" s="77" t="s">
        <v>85</v>
      </c>
      <c r="B55" s="76"/>
      <c r="C55" s="77"/>
      <c r="D55" s="77"/>
      <c r="E55" s="77"/>
      <c r="F55" s="24"/>
      <c r="G55" s="77"/>
    </row>
    <row r="56" spans="1:12" x14ac:dyDescent="0.2">
      <c r="A56" s="77"/>
      <c r="B56" s="76"/>
      <c r="C56" s="77"/>
      <c r="D56" s="77"/>
      <c r="E56" s="77"/>
      <c r="F56" s="77"/>
      <c r="G56" s="77"/>
    </row>
    <row r="57" spans="1:12" x14ac:dyDescent="0.2">
      <c r="A57" s="77"/>
      <c r="B57" s="76"/>
      <c r="C57" s="76" t="s">
        <v>44</v>
      </c>
      <c r="D57" s="76" t="s">
        <v>43</v>
      </c>
      <c r="E57" s="76" t="s">
        <v>45</v>
      </c>
      <c r="F57" s="64" t="str">
        <f>F17</f>
        <v>Updated System Sales (2020 TY)</v>
      </c>
      <c r="G57" s="76" t="s">
        <v>46</v>
      </c>
    </row>
    <row r="58" spans="1:12" ht="15" x14ac:dyDescent="0.25">
      <c r="A58" s="77"/>
      <c r="B58" s="76" t="s">
        <v>2</v>
      </c>
      <c r="C58" s="78">
        <v>0</v>
      </c>
      <c r="D58" s="79">
        <f>'PPP - SGIP'!C7</f>
        <v>0.35991938342165714</v>
      </c>
      <c r="E58" s="103">
        <v>0</v>
      </c>
      <c r="F58" s="45">
        <f>'Sales %'!D6</f>
        <v>6652988141.1181479</v>
      </c>
      <c r="G58" s="78">
        <f>F58*E58</f>
        <v>0</v>
      </c>
    </row>
    <row r="59" spans="1:12" ht="15" x14ac:dyDescent="0.25">
      <c r="A59" s="77"/>
      <c r="B59" s="76" t="s">
        <v>5</v>
      </c>
      <c r="C59" s="78">
        <v>0</v>
      </c>
      <c r="D59" s="79">
        <f>'PPP - SGIP'!C8</f>
        <v>0.1121010213014674</v>
      </c>
      <c r="E59" s="103">
        <v>0</v>
      </c>
      <c r="F59" s="45">
        <f>'Sales %'!D7</f>
        <v>2200347912.2960796</v>
      </c>
      <c r="G59" s="78">
        <f t="shared" ref="G59:G65" si="5">F59*E59</f>
        <v>0</v>
      </c>
    </row>
    <row r="60" spans="1:12" ht="15" x14ac:dyDescent="0.25">
      <c r="A60" s="77"/>
      <c r="B60" s="76" t="s">
        <v>95</v>
      </c>
      <c r="C60" s="78"/>
      <c r="D60" s="79"/>
      <c r="E60" s="103"/>
      <c r="F60" s="45"/>
      <c r="G60" s="78"/>
    </row>
    <row r="61" spans="1:12" ht="15" x14ac:dyDescent="0.25">
      <c r="A61" s="77"/>
      <c r="B61" s="76" t="s">
        <v>86</v>
      </c>
      <c r="C61" s="78">
        <v>0</v>
      </c>
      <c r="D61" s="79">
        <f>'PPP - SGIP'!C9</f>
        <v>0.50808709586085887</v>
      </c>
      <c r="E61" s="103">
        <v>0</v>
      </c>
      <c r="F61" s="45">
        <v>7573471454.7002974</v>
      </c>
      <c r="G61" s="78">
        <f t="shared" si="5"/>
        <v>0</v>
      </c>
      <c r="I61" s="102"/>
    </row>
    <row r="62" spans="1:12" ht="15" x14ac:dyDescent="0.25">
      <c r="A62" s="77"/>
      <c r="B62" s="76" t="s">
        <v>94</v>
      </c>
      <c r="C62" s="78"/>
      <c r="D62" s="79"/>
      <c r="E62" s="103"/>
      <c r="F62" s="45"/>
      <c r="G62" s="78"/>
      <c r="I62" s="77"/>
    </row>
    <row r="63" spans="1:12" ht="15" x14ac:dyDescent="0.25">
      <c r="A63" s="77"/>
      <c r="B63" s="76" t="s">
        <v>87</v>
      </c>
      <c r="C63" s="78"/>
      <c r="D63" s="79"/>
      <c r="E63" s="103">
        <v>0</v>
      </c>
      <c r="F63" s="45">
        <v>4857865.0255947243</v>
      </c>
      <c r="G63" s="78">
        <f>F63*E63</f>
        <v>0</v>
      </c>
      <c r="I63" s="24"/>
      <c r="L63" s="24"/>
    </row>
    <row r="64" spans="1:12" ht="15" x14ac:dyDescent="0.25">
      <c r="A64" s="77"/>
      <c r="B64" s="76" t="s">
        <v>3</v>
      </c>
      <c r="C64" s="78">
        <v>0</v>
      </c>
      <c r="D64" s="79">
        <f>'PPP - SGIP'!C10</f>
        <v>1.5475130246228404E-2</v>
      </c>
      <c r="E64" s="103">
        <v>0</v>
      </c>
      <c r="F64" s="45">
        <f>'Sales %'!D9</f>
        <v>329838223.38509023</v>
      </c>
      <c r="G64" s="78">
        <f t="shared" si="5"/>
        <v>0</v>
      </c>
      <c r="I64" s="24"/>
    </row>
    <row r="65" spans="1:9" ht="15" x14ac:dyDescent="0.25">
      <c r="A65" s="77"/>
      <c r="B65" s="76" t="s">
        <v>12</v>
      </c>
      <c r="C65" s="78">
        <v>0</v>
      </c>
      <c r="D65" s="79">
        <f>'PPP - SGIP'!C11</f>
        <v>4.4173691697880326E-3</v>
      </c>
      <c r="E65" s="103">
        <v>0</v>
      </c>
      <c r="F65" s="45">
        <f>'Sales %'!D10</f>
        <v>85800427</v>
      </c>
      <c r="G65" s="78">
        <f t="shared" si="5"/>
        <v>0</v>
      </c>
      <c r="I65" s="77"/>
    </row>
    <row r="66" spans="1:9" ht="15" x14ac:dyDescent="0.25">
      <c r="A66" s="77"/>
      <c r="B66" s="76" t="s">
        <v>4</v>
      </c>
      <c r="C66" s="78">
        <f>SUM(C58:C65)</f>
        <v>0</v>
      </c>
      <c r="D66" s="79">
        <f>SUM(D58:D65)</f>
        <v>0.99999999999999989</v>
      </c>
      <c r="E66" s="103">
        <v>0</v>
      </c>
      <c r="F66" s="45">
        <f>SUM(F58:F65)</f>
        <v>16847304023.525209</v>
      </c>
      <c r="G66" s="78">
        <f>F66*E66</f>
        <v>0</v>
      </c>
      <c r="I66" s="77"/>
    </row>
    <row r="67" spans="1:9" x14ac:dyDescent="0.2">
      <c r="A67" s="77"/>
      <c r="E67" s="77"/>
      <c r="I67" s="77"/>
    </row>
    <row r="68" spans="1:9" ht="15" x14ac:dyDescent="0.25">
      <c r="A68" s="77" t="s">
        <v>92</v>
      </c>
      <c r="B68" s="76"/>
      <c r="C68" s="77"/>
      <c r="D68" s="77"/>
      <c r="E68" s="77"/>
      <c r="F68" s="24"/>
      <c r="G68" s="77"/>
      <c r="I68" s="77"/>
    </row>
    <row r="69" spans="1:9" x14ac:dyDescent="0.2">
      <c r="A69" s="77"/>
      <c r="B69" s="76"/>
      <c r="C69" s="77"/>
      <c r="D69" s="77"/>
      <c r="E69" s="77"/>
      <c r="F69" s="77"/>
      <c r="G69" s="77"/>
      <c r="I69" s="77"/>
    </row>
    <row r="70" spans="1:9" x14ac:dyDescent="0.2">
      <c r="A70" s="77"/>
      <c r="B70" s="76"/>
      <c r="C70" s="76" t="s">
        <v>44</v>
      </c>
      <c r="D70" s="76" t="s">
        <v>43</v>
      </c>
      <c r="E70" s="76" t="s">
        <v>45</v>
      </c>
      <c r="F70" s="64" t="str">
        <f>F27</f>
        <v>Updated System Sales (2020 TY)</v>
      </c>
      <c r="G70" s="76" t="s">
        <v>46</v>
      </c>
      <c r="I70" s="77"/>
    </row>
    <row r="71" spans="1:9" ht="15" x14ac:dyDescent="0.25">
      <c r="A71" s="77"/>
      <c r="B71" s="76" t="s">
        <v>2</v>
      </c>
      <c r="C71" s="78">
        <v>0</v>
      </c>
      <c r="D71" s="79">
        <f>'PPP - CSI'!C7</f>
        <v>0.41548062462667729</v>
      </c>
      <c r="E71" s="103">
        <v>0</v>
      </c>
      <c r="F71" s="45">
        <f>'Sales %'!D6</f>
        <v>6652988141.1181479</v>
      </c>
      <c r="G71" s="78">
        <f>F71*E71</f>
        <v>0</v>
      </c>
      <c r="I71" s="77"/>
    </row>
    <row r="72" spans="1:9" ht="15" x14ac:dyDescent="0.25">
      <c r="A72" s="77"/>
      <c r="B72" s="76" t="s">
        <v>5</v>
      </c>
      <c r="C72" s="78">
        <v>0</v>
      </c>
      <c r="D72" s="79">
        <f>'PPP - CSI'!C8</f>
        <v>0.11372317853934658</v>
      </c>
      <c r="E72" s="103">
        <v>0</v>
      </c>
      <c r="F72" s="45">
        <f>'Sales %'!D7</f>
        <v>2200347912.2960796</v>
      </c>
      <c r="G72" s="78">
        <f>F72*E72</f>
        <v>0</v>
      </c>
      <c r="I72" s="77"/>
    </row>
    <row r="73" spans="1:9" ht="15" x14ac:dyDescent="0.25">
      <c r="A73" s="77"/>
      <c r="B73" s="76" t="s">
        <v>95</v>
      </c>
      <c r="C73" s="78"/>
      <c r="D73" s="79"/>
      <c r="E73" s="103"/>
      <c r="F73" s="45"/>
      <c r="G73" s="78"/>
      <c r="I73" s="77"/>
    </row>
    <row r="74" spans="1:9" ht="15" x14ac:dyDescent="0.25">
      <c r="A74" s="77"/>
      <c r="B74" s="76" t="s">
        <v>86</v>
      </c>
      <c r="C74" s="78">
        <v>0</v>
      </c>
      <c r="D74" s="79">
        <f>'PPP - CSI'!C9</f>
        <v>0.44959881335524515</v>
      </c>
      <c r="E74" s="103">
        <v>0</v>
      </c>
      <c r="F74" s="45">
        <v>7558813231.9372101</v>
      </c>
      <c r="G74" s="78">
        <f t="shared" ref="G74" si="6">F74*E74</f>
        <v>0</v>
      </c>
      <c r="I74" s="77"/>
    </row>
    <row r="75" spans="1:9" ht="15" x14ac:dyDescent="0.25">
      <c r="A75" s="77"/>
      <c r="B75" s="76" t="s">
        <v>94</v>
      </c>
      <c r="C75" s="78"/>
      <c r="D75" s="79"/>
      <c r="E75" s="103"/>
      <c r="F75" s="45"/>
      <c r="G75" s="78"/>
      <c r="I75" s="77"/>
    </row>
    <row r="76" spans="1:9" ht="15" x14ac:dyDescent="0.25">
      <c r="A76" s="77"/>
      <c r="B76" s="76" t="s">
        <v>87</v>
      </c>
      <c r="C76" s="78"/>
      <c r="D76" s="79"/>
      <c r="E76" s="103">
        <v>0</v>
      </c>
      <c r="F76" s="45">
        <v>4857865.0255947243</v>
      </c>
      <c r="G76" s="78">
        <f>F76*E76</f>
        <v>0</v>
      </c>
      <c r="I76" s="24"/>
    </row>
    <row r="77" spans="1:9" ht="15" x14ac:dyDescent="0.25">
      <c r="A77" s="77"/>
      <c r="B77" s="76" t="s">
        <v>3</v>
      </c>
      <c r="C77" s="78">
        <v>0</v>
      </c>
      <c r="D77" s="79">
        <f>'PPP - CSI'!C10</f>
        <v>1.5913655348609279E-2</v>
      </c>
      <c r="E77" s="103">
        <v>0</v>
      </c>
      <c r="F77" s="45">
        <f>'Sales %'!D9</f>
        <v>329838223.38509023</v>
      </c>
      <c r="G77" s="78">
        <f t="shared" ref="G77:G78" si="7">F77*E77</f>
        <v>0</v>
      </c>
      <c r="I77" s="77"/>
    </row>
    <row r="78" spans="1:9" ht="15" x14ac:dyDescent="0.25">
      <c r="A78" s="77"/>
      <c r="B78" s="76" t="s">
        <v>12</v>
      </c>
      <c r="C78" s="78">
        <v>0</v>
      </c>
      <c r="D78" s="79">
        <f>'PPP - CSI'!C11</f>
        <v>5.2837281301218514E-3</v>
      </c>
      <c r="E78" s="103">
        <v>0</v>
      </c>
      <c r="F78" s="45">
        <f>'Sales %'!D10</f>
        <v>85800427</v>
      </c>
      <c r="G78" s="78">
        <f t="shared" si="7"/>
        <v>0</v>
      </c>
    </row>
    <row r="79" spans="1:9" ht="15" x14ac:dyDescent="0.25">
      <c r="A79" s="77"/>
      <c r="B79" s="76" t="s">
        <v>4</v>
      </c>
      <c r="C79" s="78">
        <f>SUM(C71:C78)</f>
        <v>0</v>
      </c>
      <c r="D79" s="79">
        <f>SUM(D71:D78)</f>
        <v>1.0000000000000002</v>
      </c>
      <c r="E79" s="103">
        <v>0</v>
      </c>
      <c r="F79" s="45">
        <f>SUM(F71:F78)</f>
        <v>16832645800.762121</v>
      </c>
      <c r="G79" s="78">
        <f>F79*E79</f>
        <v>0</v>
      </c>
    </row>
    <row r="81" spans="1:7" ht="15" x14ac:dyDescent="0.25">
      <c r="A81" t="s">
        <v>98</v>
      </c>
      <c r="F81" s="24"/>
    </row>
    <row r="83" spans="1:7" x14ac:dyDescent="0.2">
      <c r="C83" s="41" t="s">
        <v>44</v>
      </c>
      <c r="D83" s="41" t="s">
        <v>43</v>
      </c>
      <c r="E83" s="41" t="s">
        <v>45</v>
      </c>
      <c r="F83" s="41" t="str">
        <f>F70</f>
        <v>Updated System Sales (2020 TY)</v>
      </c>
      <c r="G83" s="41" t="s">
        <v>46</v>
      </c>
    </row>
    <row r="84" spans="1:7" ht="15" x14ac:dyDescent="0.25">
      <c r="B84" s="41" t="s">
        <v>2</v>
      </c>
      <c r="C84" s="1">
        <v>15145.171094597141</v>
      </c>
      <c r="D84" s="30">
        <f>'PPP - Food Bank'!C7</f>
        <v>0.32469012958724708</v>
      </c>
      <c r="E84" s="2">
        <v>2.6079470124885524E-6</v>
      </c>
      <c r="F84" s="45">
        <f>'Sales %'!E6</f>
        <v>5636285489.7572746</v>
      </c>
      <c r="G84" s="1">
        <f>F84*E84</f>
        <v>14699.133904545062</v>
      </c>
    </row>
    <row r="85" spans="1:7" ht="15" x14ac:dyDescent="0.25">
      <c r="B85" s="41" t="s">
        <v>5</v>
      </c>
      <c r="C85" s="1">
        <v>5556.2394206278332</v>
      </c>
      <c r="D85" s="30">
        <f>'PPP - Food Bank'!C8</f>
        <v>0.11911757788890198</v>
      </c>
      <c r="E85" s="2">
        <v>2.4377009331163348E-6</v>
      </c>
      <c r="F85" s="45">
        <f>'Sales %'!E7</f>
        <v>2198076166.8739657</v>
      </c>
      <c r="G85" s="1">
        <f t="shared" ref="G85:G87" si="8">F85*E85</f>
        <v>5358.2523230494426</v>
      </c>
    </row>
    <row r="86" spans="1:7" ht="15" x14ac:dyDescent="0.25">
      <c r="B86" s="41" t="s">
        <v>96</v>
      </c>
      <c r="C86" s="1">
        <v>25175.593020454668</v>
      </c>
      <c r="D86" s="30">
        <f>'PPP - Food Bank'!C9</f>
        <v>0.5397275811009683</v>
      </c>
      <c r="E86" s="2">
        <v>2.64091178739583E-6</v>
      </c>
      <c r="F86" s="45">
        <f>'Sales %'!E8</f>
        <v>9618286033.5699387</v>
      </c>
      <c r="G86" s="1">
        <f t="shared" si="8"/>
        <v>25401.044960599535</v>
      </c>
    </row>
    <row r="87" spans="1:7" ht="15" x14ac:dyDescent="0.25">
      <c r="B87" s="41" t="s">
        <v>3</v>
      </c>
      <c r="C87" s="1">
        <v>767.99646432035286</v>
      </c>
      <c r="D87" s="30">
        <f>'PPP - Food Bank'!C10</f>
        <v>1.6464711422882472E-2</v>
      </c>
      <c r="E87" s="2">
        <v>2.2914064762028292E-6</v>
      </c>
      <c r="F87" s="45">
        <f>'Sales %'!E9</f>
        <v>329838223.38509023</v>
      </c>
      <c r="G87" s="1">
        <f t="shared" si="8"/>
        <v>755.79344116383118</v>
      </c>
    </row>
    <row r="88" spans="1:7" ht="15" x14ac:dyDescent="0.25">
      <c r="B88" s="41" t="s">
        <v>12</v>
      </c>
      <c r="C88" s="1">
        <v>0</v>
      </c>
      <c r="D88" s="30">
        <f>'PPP - Food Bank'!C11</f>
        <v>0</v>
      </c>
      <c r="E88" s="2">
        <v>0</v>
      </c>
      <c r="F88" s="45" t="str">
        <f>'Sales %'!E10</f>
        <v>-</v>
      </c>
      <c r="G88" s="75">
        <v>0</v>
      </c>
    </row>
    <row r="89" spans="1:7" ht="15" x14ac:dyDescent="0.25">
      <c r="B89" s="41" t="s">
        <v>4</v>
      </c>
      <c r="C89" s="1">
        <f>SUM(C84:C88)</f>
        <v>46644.999999999993</v>
      </c>
      <c r="D89" s="30">
        <f>SUM(D84:D88)</f>
        <v>0.99999999999999978</v>
      </c>
      <c r="E89" s="2">
        <v>2.5979282667134995E-6</v>
      </c>
      <c r="F89" s="45">
        <f>SUM(F84:F88)</f>
        <v>17782485913.586269</v>
      </c>
      <c r="G89" s="1">
        <f>F89*E89</f>
        <v>46197.622807340398</v>
      </c>
    </row>
    <row r="91" spans="1:7" ht="15" x14ac:dyDescent="0.25">
      <c r="A91" t="s">
        <v>97</v>
      </c>
      <c r="F91" s="24"/>
    </row>
    <row r="93" spans="1:7" x14ac:dyDescent="0.2">
      <c r="C93" s="41" t="s">
        <v>44</v>
      </c>
      <c r="D93" s="41" t="s">
        <v>43</v>
      </c>
      <c r="E93" s="41" t="s">
        <v>45</v>
      </c>
      <c r="F93" s="41" t="str">
        <f>F70</f>
        <v>Updated System Sales (2020 TY)</v>
      </c>
      <c r="G93" s="41" t="s">
        <v>46</v>
      </c>
    </row>
    <row r="94" spans="1:7" ht="15" x14ac:dyDescent="0.25">
      <c r="B94" s="41" t="s">
        <v>2</v>
      </c>
      <c r="C94" s="1">
        <v>917214.54954997753</v>
      </c>
      <c r="D94" s="30">
        <f>'PPP - FERA'!C7</f>
        <v>0.32469012958724708</v>
      </c>
      <c r="E94" s="2">
        <v>1.5794122954234776E-4</v>
      </c>
      <c r="F94" s="45">
        <f>'Sales %'!E6</f>
        <v>5636285489.7572746</v>
      </c>
      <c r="G94" s="1">
        <f>F94*E94</f>
        <v>890201.86030395771</v>
      </c>
    </row>
    <row r="95" spans="1:7" ht="15" x14ac:dyDescent="0.25">
      <c r="B95" s="41" t="s">
        <v>5</v>
      </c>
      <c r="C95" s="1">
        <v>336494.29283773608</v>
      </c>
      <c r="D95" s="30">
        <f>'PPP - FERA'!C8</f>
        <v>0.11911757788890198</v>
      </c>
      <c r="E95" s="2">
        <v>1.47630868567968E-4</v>
      </c>
      <c r="F95" s="45">
        <f>'Sales %'!E7</f>
        <v>2198076166.8739657</v>
      </c>
      <c r="G95" s="1">
        <f t="shared" ref="G95:G97" si="9">F95*E95</f>
        <v>324503.89369415335</v>
      </c>
    </row>
    <row r="96" spans="1:7" ht="15" x14ac:dyDescent="0.25">
      <c r="B96" s="41" t="s">
        <v>96</v>
      </c>
      <c r="C96" s="1">
        <v>1524672.1260314765</v>
      </c>
      <c r="D96" s="30">
        <f>'PPP - FERA'!C9</f>
        <v>0.5397275811009683</v>
      </c>
      <c r="E96" s="2">
        <v>1.5993762634623605E-4</v>
      </c>
      <c r="F96" s="45">
        <f>'Sales %'!E8</f>
        <v>9618286033.5699387</v>
      </c>
      <c r="G96" s="1">
        <f t="shared" si="9"/>
        <v>1538325.8377283297</v>
      </c>
    </row>
    <row r="97" spans="1:7" ht="15" x14ac:dyDescent="0.25">
      <c r="B97" s="41" t="s">
        <v>3</v>
      </c>
      <c r="C97" s="1">
        <v>46511.031580809315</v>
      </c>
      <c r="D97" s="30">
        <f>'PPP - FERA'!C10</f>
        <v>1.6464711422882472E-2</v>
      </c>
      <c r="E97" s="2">
        <v>1.3877105420459992E-4</v>
      </c>
      <c r="F97" s="45">
        <f>'Sales %'!E9</f>
        <v>329838223.38509023</v>
      </c>
      <c r="G97" s="1">
        <f t="shared" si="9"/>
        <v>45771.997976121296</v>
      </c>
    </row>
    <row r="98" spans="1:7" ht="15" x14ac:dyDescent="0.25">
      <c r="B98" s="41" t="s">
        <v>12</v>
      </c>
      <c r="C98" s="1">
        <v>0</v>
      </c>
      <c r="D98" s="30">
        <f>'PPP - FERA'!C11</f>
        <v>0</v>
      </c>
      <c r="E98" s="2">
        <v>0</v>
      </c>
      <c r="F98" s="45" t="str">
        <f>'Sales %'!E10</f>
        <v>-</v>
      </c>
      <c r="G98" s="75">
        <v>0</v>
      </c>
    </row>
    <row r="99" spans="1:7" ht="15" x14ac:dyDescent="0.25">
      <c r="B99" s="41" t="s">
        <v>4</v>
      </c>
      <c r="C99" s="1">
        <f>SUM(C94:C98)</f>
        <v>2824891.9999999995</v>
      </c>
      <c r="D99" s="30">
        <f>SUM(D94:D98)</f>
        <v>0.99999999999999978</v>
      </c>
      <c r="E99" s="2">
        <v>1.5733447909128162E-4</v>
      </c>
      <c r="F99" s="45">
        <f>SUM(F94:F98)</f>
        <v>17782485913.586269</v>
      </c>
      <c r="G99" s="1">
        <f>F99*E99</f>
        <v>2797798.1581621487</v>
      </c>
    </row>
    <row r="101" spans="1:7" ht="15" x14ac:dyDescent="0.25">
      <c r="A101" t="s">
        <v>113</v>
      </c>
      <c r="F101" s="24"/>
    </row>
    <row r="103" spans="1:7" x14ac:dyDescent="0.2">
      <c r="C103" s="41" t="s">
        <v>44</v>
      </c>
      <c r="D103" s="41" t="s">
        <v>43</v>
      </c>
      <c r="E103" s="41" t="s">
        <v>45</v>
      </c>
      <c r="F103" s="41" t="str">
        <f>F93</f>
        <v>Updated System Sales (2020 TY)</v>
      </c>
      <c r="G103" s="41" t="s">
        <v>46</v>
      </c>
    </row>
    <row r="104" spans="1:7" ht="15" x14ac:dyDescent="0.25">
      <c r="B104" s="41" t="s">
        <v>2</v>
      </c>
      <c r="C104" s="1">
        <v>9210286.1339492742</v>
      </c>
      <c r="D104" s="30">
        <f>'PPP - TMNB'!C7</f>
        <v>0.43129445257131888</v>
      </c>
      <c r="E104" s="2">
        <v>1.3496215430467038E-3</v>
      </c>
      <c r="F104" s="45">
        <f>'Sales %'!D6</f>
        <v>6652988141.1181479</v>
      </c>
      <c r="G104" s="1">
        <f>F104*E104</f>
        <v>8979016.1208872963</v>
      </c>
    </row>
    <row r="105" spans="1:7" ht="15" x14ac:dyDescent="0.25">
      <c r="B105" s="41" t="s">
        <v>5</v>
      </c>
      <c r="C105" s="1">
        <v>2248060.6332912967</v>
      </c>
      <c r="D105" s="30">
        <f>'PPP - TMNB'!C8</f>
        <v>0.10527100527405202</v>
      </c>
      <c r="E105" s="2">
        <v>9.8532595086104941E-4</v>
      </c>
      <c r="F105" s="45">
        <f>'Sales %'!D7</f>
        <v>2200347912.2960796</v>
      </c>
      <c r="G105" s="1">
        <f t="shared" ref="G105:G107" si="10">F105*E105</f>
        <v>2168059.8989082598</v>
      </c>
    </row>
    <row r="106" spans="1:7" ht="15" x14ac:dyDescent="0.25">
      <c r="B106" s="41" t="s">
        <v>96</v>
      </c>
      <c r="C106" s="1">
        <v>9608589.2398092989</v>
      </c>
      <c r="D106" s="30">
        <f>'PPP - TMNB'!C9</f>
        <v>0.4499459816878954</v>
      </c>
      <c r="E106" s="2">
        <v>1.0063639928749653E-3</v>
      </c>
      <c r="F106" s="45">
        <f>'Sales %'!D8</f>
        <v>9632944256.333025</v>
      </c>
      <c r="G106" s="1">
        <f t="shared" si="10"/>
        <v>9694248.2449452672</v>
      </c>
    </row>
    <row r="107" spans="1:7" ht="15" x14ac:dyDescent="0.25">
      <c r="B107" s="41" t="s">
        <v>3</v>
      </c>
      <c r="C107" s="1">
        <v>225538.12173098617</v>
      </c>
      <c r="D107" s="30">
        <f>'PPP - TMNB'!C10</f>
        <v>1.0561380974623356E-2</v>
      </c>
      <c r="E107" s="2">
        <v>6.7291913019723506E-4</v>
      </c>
      <c r="F107" s="45">
        <f>'Sales %'!D9</f>
        <v>329838223.38509023</v>
      </c>
      <c r="G107" s="1">
        <f t="shared" si="10"/>
        <v>221954.45038609623</v>
      </c>
    </row>
    <row r="108" spans="1:7" ht="15" x14ac:dyDescent="0.25">
      <c r="B108" s="41" t="s">
        <v>12</v>
      </c>
      <c r="C108" s="1">
        <v>62509.871219144588</v>
      </c>
      <c r="D108" s="30">
        <f>'PPP - TMNB'!C11</f>
        <v>2.9271794921103471E-3</v>
      </c>
      <c r="E108" s="2">
        <v>7.8149984668324875E-4</v>
      </c>
      <c r="F108" s="45">
        <f>'Sales %'!D10</f>
        <v>85800427</v>
      </c>
      <c r="G108" s="75">
        <v>0</v>
      </c>
    </row>
    <row r="109" spans="1:7" ht="15" x14ac:dyDescent="0.25">
      <c r="B109" s="41" t="s">
        <v>4</v>
      </c>
      <c r="C109" s="1">
        <f>SUM(C104:C108)</f>
        <v>21354984</v>
      </c>
      <c r="D109" s="30">
        <f>SUM(D104:D108)</f>
        <v>1</v>
      </c>
      <c r="E109" s="2">
        <v>1.1198875152014067E-3</v>
      </c>
      <c r="F109" s="45">
        <f>SUM(F104:F108)</f>
        <v>18901918960.132343</v>
      </c>
      <c r="G109" s="1">
        <f>F109*E109</f>
        <v>21168023.056800965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  <headerFooter>
    <oddFooter>&amp;L&amp;F
&amp;A&amp;R&amp;P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26"/>
  <sheetViews>
    <sheetView topLeftCell="A6" zoomScale="110" zoomScaleNormal="110" workbookViewId="0">
      <selection activeCell="D20" sqref="D20"/>
    </sheetView>
  </sheetViews>
  <sheetFormatPr defaultColWidth="9.33203125" defaultRowHeight="15" x14ac:dyDescent="0.25"/>
  <cols>
    <col min="1" max="1" width="9.33203125" style="3"/>
    <col min="2" max="2" width="15.33203125" style="3" bestFit="1" customWidth="1"/>
    <col min="3" max="3" width="13" style="3" bestFit="1" customWidth="1"/>
    <col min="4" max="4" width="14" style="3" bestFit="1" customWidth="1"/>
    <col min="5" max="5" width="25.33203125" style="3" bestFit="1" customWidth="1"/>
    <col min="6" max="6" width="9.33203125" style="3" customWidth="1"/>
    <col min="7" max="7" width="14" style="3" customWidth="1"/>
    <col min="8" max="9" width="9.33203125" style="3"/>
    <col min="10" max="10" width="12.33203125" style="3" customWidth="1"/>
    <col min="11" max="16384" width="9.33203125" style="3"/>
  </cols>
  <sheetData>
    <row r="1" spans="1:10" x14ac:dyDescent="0.25">
      <c r="A1" s="108" t="s">
        <v>54</v>
      </c>
      <c r="B1" s="108"/>
      <c r="C1" s="108"/>
      <c r="D1" s="108"/>
      <c r="E1" s="108"/>
      <c r="F1" s="108"/>
    </row>
    <row r="2" spans="1:10" x14ac:dyDescent="0.25">
      <c r="A2" s="108" t="s">
        <v>118</v>
      </c>
      <c r="B2" s="108"/>
      <c r="C2" s="108"/>
      <c r="D2" s="108"/>
      <c r="E2" s="108"/>
      <c r="F2" s="59"/>
    </row>
    <row r="3" spans="1:10" x14ac:dyDescent="0.25">
      <c r="A3" s="108" t="s">
        <v>81</v>
      </c>
      <c r="B3" s="108"/>
      <c r="C3" s="108"/>
      <c r="D3" s="108"/>
      <c r="E3" s="108"/>
      <c r="F3" s="59"/>
    </row>
    <row r="5" spans="1:10" x14ac:dyDescent="0.25">
      <c r="B5" s="31"/>
    </row>
    <row r="6" spans="1:10" x14ac:dyDescent="0.25">
      <c r="C6" s="4" t="s">
        <v>7</v>
      </c>
      <c r="D6" s="4" t="s">
        <v>8</v>
      </c>
      <c r="E6" s="4" t="s">
        <v>9</v>
      </c>
    </row>
    <row r="7" spans="1:10" x14ac:dyDescent="0.25">
      <c r="B7" s="4" t="s">
        <v>2</v>
      </c>
      <c r="C7" s="5">
        <f>C17/$C$23</f>
        <v>0.44201131741885119</v>
      </c>
      <c r="D7" s="5">
        <f t="shared" ref="D7:D11" si="0">D17/$D$23</f>
        <v>0.44201035602578653</v>
      </c>
      <c r="E7" s="6">
        <f>(D7-C7)/C7</f>
        <v>-2.1750417393654742E-6</v>
      </c>
    </row>
    <row r="8" spans="1:10" x14ac:dyDescent="0.25">
      <c r="B8" s="4" t="s">
        <v>10</v>
      </c>
      <c r="C8" s="5">
        <f t="shared" ref="C8:C12" si="1">C18/$C$23</f>
        <v>0.15778023473846647</v>
      </c>
      <c r="D8" s="5">
        <f>D18/$D$23</f>
        <v>0.15678436286594674</v>
      </c>
      <c r="E8" s="6">
        <f>(D8-C8)/C8</f>
        <v>-6.3117656921379967E-3</v>
      </c>
    </row>
    <row r="9" spans="1:10" x14ac:dyDescent="0.25">
      <c r="B9" s="4" t="s">
        <v>11</v>
      </c>
      <c r="C9" s="5">
        <f t="shared" si="1"/>
        <v>0.38062920731815902</v>
      </c>
      <c r="D9" s="5">
        <f t="shared" si="0"/>
        <v>0.36682038549695661</v>
      </c>
      <c r="E9" s="6">
        <f>(D9-C9)/C9</f>
        <v>-3.6278933817235785E-2</v>
      </c>
    </row>
    <row r="10" spans="1:10" x14ac:dyDescent="0.25">
      <c r="B10" s="4" t="s">
        <v>3</v>
      </c>
      <c r="C10" s="5">
        <f t="shared" si="1"/>
        <v>1.3069733547091296E-2</v>
      </c>
      <c r="D10" s="5">
        <f t="shared" si="0"/>
        <v>1.3037265759247416E-2</v>
      </c>
      <c r="E10" s="6">
        <f>(D10-C10)/C10</f>
        <v>-2.4841966155542453E-3</v>
      </c>
    </row>
    <row r="11" spans="1:10" x14ac:dyDescent="0.25">
      <c r="B11" s="4" t="s">
        <v>12</v>
      </c>
      <c r="C11" s="5">
        <f t="shared" si="1"/>
        <v>6.5095069774320389E-3</v>
      </c>
      <c r="D11" s="5">
        <f t="shared" si="0"/>
        <v>6.4285889632568196E-3</v>
      </c>
      <c r="E11" s="6">
        <f>(D11-C11)/C11</f>
        <v>-1.2430743903609881E-2</v>
      </c>
    </row>
    <row r="12" spans="1:10" x14ac:dyDescent="0.25">
      <c r="B12" s="4" t="s">
        <v>110</v>
      </c>
      <c r="C12" s="5">
        <f t="shared" si="1"/>
        <v>0</v>
      </c>
      <c r="D12" s="5">
        <f>D22/$D$23</f>
        <v>1.4919040888805999E-2</v>
      </c>
      <c r="E12" s="6">
        <f>IF(ISERROR(D12-C12/C12),0,D12-C12/C12)</f>
        <v>0</v>
      </c>
    </row>
    <row r="13" spans="1:10" x14ac:dyDescent="0.25">
      <c r="J13" s="6"/>
    </row>
    <row r="14" spans="1:10" x14ac:dyDescent="0.25">
      <c r="B14" s="31"/>
      <c r="J14" s="6"/>
    </row>
    <row r="15" spans="1:10" ht="15.75" thickBot="1" x14ac:dyDescent="0.3">
      <c r="B15" s="31"/>
    </row>
    <row r="16" spans="1:10" ht="60.75" thickBot="1" x14ac:dyDescent="0.3">
      <c r="B16" s="8"/>
      <c r="C16" s="9" t="s">
        <v>13</v>
      </c>
      <c r="D16" s="9" t="s">
        <v>14</v>
      </c>
      <c r="E16" s="9" t="s">
        <v>15</v>
      </c>
    </row>
    <row r="17" spans="2:5" ht="15.75" thickBot="1" x14ac:dyDescent="0.3">
      <c r="B17" s="10" t="s">
        <v>2</v>
      </c>
      <c r="C17" s="14">
        <v>702272.26480285113</v>
      </c>
      <c r="D17" s="14">
        <v>702270.73733136314</v>
      </c>
      <c r="E17" s="32">
        <f>(D17-C17)/C17</f>
        <v>-2.1750417388635589E-6</v>
      </c>
    </row>
    <row r="18" spans="2:5" ht="30.75" thickBot="1" x14ac:dyDescent="0.3">
      <c r="B18" s="10" t="s">
        <v>5</v>
      </c>
      <c r="C18" s="14">
        <v>250682.90884033972</v>
      </c>
      <c r="D18" s="14">
        <v>249100.65705671604</v>
      </c>
      <c r="E18" s="32">
        <f t="shared" ref="E18:E23" si="2">(D18-C18)/C18</f>
        <v>-6.3117656921374667E-3</v>
      </c>
    </row>
    <row r="19" spans="2:5" ht="15.75" thickBot="1" x14ac:dyDescent="0.3">
      <c r="B19" s="10" t="s">
        <v>11</v>
      </c>
      <c r="C19" s="14">
        <v>604747.7178511658</v>
      </c>
      <c r="D19" s="14">
        <v>582808.11541911925</v>
      </c>
      <c r="E19" s="32">
        <f t="shared" si="2"/>
        <v>-3.6278933817235334E-2</v>
      </c>
    </row>
    <row r="20" spans="2:5" ht="15.75" thickBot="1" x14ac:dyDescent="0.3">
      <c r="B20" s="10" t="s">
        <v>16</v>
      </c>
      <c r="C20" s="14">
        <v>20765.331150532558</v>
      </c>
      <c r="D20" s="14">
        <v>20713.745985167556</v>
      </c>
      <c r="E20" s="32">
        <f t="shared" si="2"/>
        <v>-2.4841966155535878E-3</v>
      </c>
    </row>
    <row r="21" spans="2:5" ht="15.75" thickBot="1" x14ac:dyDescent="0.3">
      <c r="B21" s="10" t="s">
        <v>12</v>
      </c>
      <c r="C21" s="14">
        <v>10342.373662480783</v>
      </c>
      <c r="D21" s="14">
        <v>10213.810264127051</v>
      </c>
      <c r="E21" s="32">
        <f t="shared" si="2"/>
        <v>-1.2430743903609247E-2</v>
      </c>
    </row>
    <row r="22" spans="2:5" ht="15.75" thickBot="1" x14ac:dyDescent="0.3">
      <c r="B22" s="10" t="s">
        <v>110</v>
      </c>
      <c r="C22" s="14">
        <v>0</v>
      </c>
      <c r="D22" s="14">
        <v>23703.530250877906</v>
      </c>
      <c r="E22" s="32">
        <f>IF(ISERROR(D22-C22/C22),0,D22-C22/C22)</f>
        <v>0</v>
      </c>
    </row>
    <row r="23" spans="2:5" ht="15.75" thickBot="1" x14ac:dyDescent="0.3">
      <c r="B23" s="10" t="s">
        <v>4</v>
      </c>
      <c r="C23" s="14">
        <f>SUM(C17:C22)</f>
        <v>1588810.5963073699</v>
      </c>
      <c r="D23" s="14">
        <f>SUM(D17:D22)</f>
        <v>1588810.5963073708</v>
      </c>
      <c r="E23" s="32">
        <f t="shared" si="2"/>
        <v>5.8617595878326186E-16</v>
      </c>
    </row>
    <row r="24" spans="2:5" x14ac:dyDescent="0.25">
      <c r="B24" s="11"/>
    </row>
    <row r="25" spans="2:5" x14ac:dyDescent="0.25">
      <c r="B25" s="12"/>
    </row>
    <row r="26" spans="2:5" x14ac:dyDescent="0.25">
      <c r="B26" s="12"/>
    </row>
  </sheetData>
  <mergeCells count="3">
    <mergeCell ref="A1:F1"/>
    <mergeCell ref="A3:E3"/>
    <mergeCell ref="A2:E2"/>
  </mergeCells>
  <pageMargins left="0.7" right="0.7" top="0.75" bottom="0.75" header="0.3" footer="0.3"/>
  <pageSetup orientation="portrait" r:id="rId1"/>
  <headerFooter>
    <oddFooter>&amp;L&amp;F
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zoomScale="85" zoomScaleNormal="85" workbookViewId="0">
      <selection activeCell="C11" sqref="C11"/>
    </sheetView>
  </sheetViews>
  <sheetFormatPr defaultColWidth="9.33203125" defaultRowHeight="15" x14ac:dyDescent="0.25"/>
  <cols>
    <col min="1" max="1" width="9.33203125" style="3"/>
    <col min="2" max="2" width="15.33203125" style="3" bestFit="1" customWidth="1"/>
    <col min="3" max="3" width="13" style="3" bestFit="1" customWidth="1"/>
    <col min="4" max="4" width="14" style="3" bestFit="1" customWidth="1"/>
    <col min="5" max="5" width="24.33203125" style="3" customWidth="1"/>
    <col min="6" max="6" width="17" style="3" customWidth="1"/>
    <col min="7" max="7" width="20" style="3" customWidth="1"/>
    <col min="8" max="9" width="22.33203125" style="3" bestFit="1" customWidth="1"/>
    <col min="10" max="10" width="15.6640625" style="3" customWidth="1"/>
    <col min="11" max="11" width="26" style="3" bestFit="1" customWidth="1"/>
    <col min="12" max="12" width="16.6640625" style="3" bestFit="1" customWidth="1"/>
    <col min="13" max="13" width="22.33203125" style="3" bestFit="1" customWidth="1"/>
    <col min="14" max="14" width="22.33203125" style="3" customWidth="1"/>
    <col min="15" max="16384" width="9.33203125" style="3"/>
  </cols>
  <sheetData>
    <row r="1" spans="1:14" x14ac:dyDescent="0.25">
      <c r="B1" s="108" t="str">
        <f>'Distribution 1 Year'!A1</f>
        <v>SAN DIEGO GAS &amp; ELECTRIC COMPANY</v>
      </c>
      <c r="C1" s="108"/>
      <c r="D1" s="108"/>
      <c r="E1" s="108"/>
      <c r="F1" s="108"/>
      <c r="G1" s="108"/>
      <c r="H1" s="108"/>
      <c r="I1" s="108"/>
    </row>
    <row r="2" spans="1:14" x14ac:dyDescent="0.25">
      <c r="A2" s="60"/>
      <c r="B2" s="108" t="str">
        <f>'Distribution 1 Year'!A2</f>
        <v>TEST YEAR 2019 GENERAL RATE CASE PHASE 2, APPLICATION 19-03-002</v>
      </c>
      <c r="C2" s="108"/>
      <c r="D2" s="108"/>
      <c r="E2" s="108"/>
      <c r="F2" s="108"/>
      <c r="G2" s="108"/>
      <c r="H2" s="108"/>
      <c r="I2" s="108"/>
    </row>
    <row r="3" spans="1:14" x14ac:dyDescent="0.25">
      <c r="B3" s="108" t="str">
        <f>'Distribution 1 Year'!A3</f>
        <v>REVENUE ALLOCATION WORKPAPERS - CHAPTER 2</v>
      </c>
      <c r="C3" s="108"/>
      <c r="D3" s="108"/>
      <c r="E3" s="108"/>
      <c r="F3" s="108"/>
      <c r="G3" s="109"/>
      <c r="H3" s="109"/>
      <c r="I3" s="109"/>
    </row>
    <row r="5" spans="1:14" x14ac:dyDescent="0.25">
      <c r="B5" s="31"/>
      <c r="K5" s="31"/>
      <c r="L5" s="33"/>
      <c r="M5" s="33"/>
      <c r="N5" s="33"/>
    </row>
    <row r="6" spans="1:14" x14ac:dyDescent="0.25">
      <c r="C6" s="4" t="s">
        <v>7</v>
      </c>
      <c r="D6" s="4" t="s">
        <v>8</v>
      </c>
      <c r="E6" s="4" t="s">
        <v>9</v>
      </c>
      <c r="F6" s="4" t="s">
        <v>39</v>
      </c>
      <c r="G6" s="42" t="s">
        <v>36</v>
      </c>
      <c r="H6" s="42" t="s">
        <v>37</v>
      </c>
      <c r="I6" s="42" t="s">
        <v>38</v>
      </c>
      <c r="J6" s="42"/>
    </row>
    <row r="7" spans="1:14" x14ac:dyDescent="0.25">
      <c r="B7" s="4" t="s">
        <v>2</v>
      </c>
      <c r="C7" s="5">
        <f>C17/$C$22</f>
        <v>0.44201131741885119</v>
      </c>
      <c r="D7" s="5">
        <f>D17/$D$22</f>
        <v>0.44870459827443809</v>
      </c>
      <c r="E7" s="6">
        <f>(D7-C7)/C7</f>
        <v>1.51427816253047E-2</v>
      </c>
      <c r="F7" s="6">
        <f>F17</f>
        <v>-7.2501391295451964E-7</v>
      </c>
      <c r="G7" s="39">
        <f>C7*(1+F17)</f>
        <v>0.44201099695449642</v>
      </c>
      <c r="H7" s="6">
        <f>C7*(1+F17*2)</f>
        <v>0.44201067649014159</v>
      </c>
      <c r="I7" s="6">
        <f>C7*(1+F17*3)</f>
        <v>0.44201035602578675</v>
      </c>
      <c r="J7" s="6"/>
    </row>
    <row r="8" spans="1:14" x14ac:dyDescent="0.25">
      <c r="B8" s="4" t="s">
        <v>10</v>
      </c>
      <c r="C8" s="5">
        <f>C18/$C$22</f>
        <v>0.15778023473846647</v>
      </c>
      <c r="D8" s="5">
        <f>D18/$D$22</f>
        <v>0.15915886041225288</v>
      </c>
      <c r="E8" s="6">
        <f>(D8-C8)/C8</f>
        <v>8.7376322900748239E-3</v>
      </c>
      <c r="F8" s="6">
        <f>F18</f>
        <v>-2.1039218973791557E-3</v>
      </c>
      <c r="G8" s="39">
        <f>C8*(1+F18)</f>
        <v>0.1574482774476266</v>
      </c>
      <c r="H8" s="6">
        <f>C8*(1+F18*2)</f>
        <v>0.1571163201567867</v>
      </c>
      <c r="I8" s="6">
        <f>C8*(1+F18*3)</f>
        <v>0.15678436286594682</v>
      </c>
      <c r="J8" s="6"/>
    </row>
    <row r="9" spans="1:14" x14ac:dyDescent="0.25">
      <c r="B9" s="4" t="s">
        <v>11</v>
      </c>
      <c r="C9" s="5">
        <f>C19/$C$22</f>
        <v>0.38062920731815902</v>
      </c>
      <c r="D9" s="5">
        <f>D19/$D$22</f>
        <v>0.37237587642332109</v>
      </c>
      <c r="E9" s="6">
        <f>(D9-C9)/C9</f>
        <v>-2.1683388284859505E-2</v>
      </c>
      <c r="F9" s="6">
        <f>F19</f>
        <v>-1.2092977939078445E-2</v>
      </c>
      <c r="G9" s="39">
        <f>C9*(1+F19)</f>
        <v>0.37602626671109157</v>
      </c>
      <c r="H9" s="6">
        <f>C9*(1+F19*2)</f>
        <v>0.37142332610402423</v>
      </c>
      <c r="I9" s="6">
        <f>C9*(1+F19*3)</f>
        <v>0.36682038549695678</v>
      </c>
      <c r="J9" s="6"/>
    </row>
    <row r="10" spans="1:14" x14ac:dyDescent="0.25">
      <c r="B10" s="4" t="s">
        <v>3</v>
      </c>
      <c r="C10" s="5">
        <f>C20/$C$22</f>
        <v>1.3069733547091296E-2</v>
      </c>
      <c r="D10" s="5">
        <f>D20/$D$22</f>
        <v>1.3234715013688328E-2</v>
      </c>
      <c r="E10" s="6">
        <f>(D10-C10)/C10</f>
        <v>1.2623169860547671E-2</v>
      </c>
      <c r="F10" s="6">
        <f>F20</f>
        <v>-8.2806553851786258E-4</v>
      </c>
      <c r="G10" s="39">
        <f>C10*(1+F20)</f>
        <v>1.3058910951143338E-2</v>
      </c>
      <c r="H10" s="6">
        <f>C10*(1+F20*2)</f>
        <v>1.3048088355195381E-2</v>
      </c>
      <c r="I10" s="6">
        <f>C10*(1+F20*3)</f>
        <v>1.3037265759247425E-2</v>
      </c>
      <c r="J10" s="6"/>
    </row>
    <row r="11" spans="1:14" x14ac:dyDescent="0.25">
      <c r="B11" s="4" t="s">
        <v>12</v>
      </c>
      <c r="C11" s="5">
        <f>C21/$C$22</f>
        <v>6.5095069774320389E-3</v>
      </c>
      <c r="D11" s="5">
        <f>D21/$D$22</f>
        <v>6.5259498762996323E-3</v>
      </c>
      <c r="E11" s="6">
        <f>(D11-C11)/C11</f>
        <v>2.5259822171786075E-3</v>
      </c>
      <c r="F11" s="6">
        <f>F21</f>
        <v>-4.1435813012030828E-3</v>
      </c>
      <c r="G11" s="39">
        <f>C11*(1+F21)</f>
        <v>6.4825343060403006E-3</v>
      </c>
      <c r="H11" s="6">
        <f>C11*(1+F21*2)</f>
        <v>6.4555616346485623E-3</v>
      </c>
      <c r="I11" s="6">
        <f>C11*(1+F21*3)</f>
        <v>6.428588963256824E-3</v>
      </c>
      <c r="J11" s="6"/>
    </row>
    <row r="12" spans="1:14" x14ac:dyDescent="0.25">
      <c r="K12" s="6"/>
    </row>
    <row r="13" spans="1:14" x14ac:dyDescent="0.25">
      <c r="K13" s="101"/>
    </row>
    <row r="14" spans="1:14" x14ac:dyDescent="0.25">
      <c r="B14" s="31"/>
    </row>
    <row r="15" spans="1:14" ht="15.75" thickBot="1" x14ac:dyDescent="0.3">
      <c r="B15" s="31"/>
    </row>
    <row r="16" spans="1:14" ht="60.75" thickBot="1" x14ac:dyDescent="0.3">
      <c r="B16" s="8"/>
      <c r="C16" s="9" t="s">
        <v>13</v>
      </c>
      <c r="D16" s="9" t="s">
        <v>14</v>
      </c>
      <c r="E16" s="9" t="s">
        <v>15</v>
      </c>
      <c r="F16" s="9" t="s">
        <v>32</v>
      </c>
      <c r="G16" s="9" t="s">
        <v>33</v>
      </c>
      <c r="H16" s="9" t="s">
        <v>34</v>
      </c>
      <c r="I16" s="9" t="s">
        <v>35</v>
      </c>
    </row>
    <row r="17" spans="2:12" ht="15.75" thickBot="1" x14ac:dyDescent="0.3">
      <c r="B17" s="10" t="s">
        <v>2</v>
      </c>
      <c r="C17" s="14">
        <f>'Distribution 1 Year'!C17</f>
        <v>702272.26480285113</v>
      </c>
      <c r="D17" s="14">
        <f>'Distribution 1 Year'!D17</f>
        <v>702270.73733136314</v>
      </c>
      <c r="E17" s="32">
        <f>(D17-C17)/C17</f>
        <v>-2.1750417388635589E-6</v>
      </c>
      <c r="F17" s="32">
        <f t="shared" ref="F17:F22" si="0">E17/3</f>
        <v>-7.2501391295451964E-7</v>
      </c>
      <c r="G17" s="14">
        <f t="shared" ref="G17:I21" si="1">$D$22*G7</f>
        <v>691794.53460815735</v>
      </c>
      <c r="H17" s="14">
        <f t="shared" si="1"/>
        <v>691794.03304713115</v>
      </c>
      <c r="I17" s="14">
        <f t="shared" si="1"/>
        <v>691793.53148610506</v>
      </c>
    </row>
    <row r="18" spans="2:12" ht="30.75" thickBot="1" x14ac:dyDescent="0.3">
      <c r="B18" s="10" t="s">
        <v>5</v>
      </c>
      <c r="C18" s="14">
        <f>'Distribution 1 Year'!C18</f>
        <v>250682.90884033972</v>
      </c>
      <c r="D18" s="14">
        <f>'Distribution 1 Year'!D18</f>
        <v>249100.65705671604</v>
      </c>
      <c r="E18" s="32">
        <f t="shared" ref="E18:E22" si="2">(D18-C18)/C18</f>
        <v>-6.3117656921374667E-3</v>
      </c>
      <c r="F18" s="32">
        <f t="shared" si="0"/>
        <v>-2.1039218973791557E-3</v>
      </c>
      <c r="G18" s="14">
        <f t="shared" si="1"/>
        <v>246423.41157170356</v>
      </c>
      <c r="H18" s="14">
        <f t="shared" si="1"/>
        <v>245903.86287018107</v>
      </c>
      <c r="I18" s="14">
        <f t="shared" si="1"/>
        <v>245384.3141686586</v>
      </c>
    </row>
    <row r="19" spans="2:12" ht="15.75" thickBot="1" x14ac:dyDescent="0.3">
      <c r="B19" s="10" t="s">
        <v>11</v>
      </c>
      <c r="C19" s="14">
        <f>'Distribution 1 Year'!C19</f>
        <v>604747.7178511658</v>
      </c>
      <c r="D19" s="14">
        <f>'Distribution 1 Year'!D19</f>
        <v>582808.11541911925</v>
      </c>
      <c r="E19" s="32">
        <f t="shared" si="2"/>
        <v>-3.6278933817235334E-2</v>
      </c>
      <c r="F19" s="32">
        <f t="shared" si="0"/>
        <v>-1.2092977939078445E-2</v>
      </c>
      <c r="G19" s="14">
        <f t="shared" si="1"/>
        <v>588521.36705237289</v>
      </c>
      <c r="H19" s="14">
        <f t="shared" si="1"/>
        <v>581317.27218361339</v>
      </c>
      <c r="I19" s="14">
        <f t="shared" si="1"/>
        <v>574113.17731485376</v>
      </c>
      <c r="K19" s="39"/>
    </row>
    <row r="20" spans="2:12" ht="15.75" thickBot="1" x14ac:dyDescent="0.3">
      <c r="B20" s="10" t="s">
        <v>16</v>
      </c>
      <c r="C20" s="14">
        <f>'Distribution 1 Year'!C20</f>
        <v>20765.331150532558</v>
      </c>
      <c r="D20" s="14">
        <f>'Distribution 1 Year'!D20</f>
        <v>20713.745985167556</v>
      </c>
      <c r="E20" s="32">
        <f t="shared" si="2"/>
        <v>-2.4841966155535878E-3</v>
      </c>
      <c r="F20" s="32">
        <f t="shared" si="0"/>
        <v>-8.2806553851786258E-4</v>
      </c>
      <c r="G20" s="14">
        <f t="shared" si="1"/>
        <v>20438.593804636956</v>
      </c>
      <c r="H20" s="14">
        <f t="shared" si="1"/>
        <v>20421.655283245735</v>
      </c>
      <c r="I20" s="14">
        <f t="shared" si="1"/>
        <v>20404.716761854514</v>
      </c>
      <c r="K20" s="39"/>
    </row>
    <row r="21" spans="2:12" ht="15.75" thickBot="1" x14ac:dyDescent="0.3">
      <c r="B21" s="10" t="s">
        <v>12</v>
      </c>
      <c r="C21" s="14">
        <f>'Distribution 1 Year'!C21</f>
        <v>10342.373662480783</v>
      </c>
      <c r="D21" s="14">
        <f>'Distribution 1 Year'!D21</f>
        <v>10213.810264127051</v>
      </c>
      <c r="E21" s="32">
        <f t="shared" si="2"/>
        <v>-1.2430743903609247E-2</v>
      </c>
      <c r="F21" s="32">
        <f t="shared" si="0"/>
        <v>-4.1435813012030828E-3</v>
      </c>
      <c r="G21" s="14">
        <f t="shared" si="1"/>
        <v>10145.860248337298</v>
      </c>
      <c r="H21" s="14">
        <f t="shared" si="1"/>
        <v>10103.645129751669</v>
      </c>
      <c r="I21" s="14">
        <f t="shared" si="1"/>
        <v>10061.43001116604</v>
      </c>
      <c r="K21" s="39"/>
    </row>
    <row r="22" spans="2:12" ht="15.75" thickBot="1" x14ac:dyDescent="0.3">
      <c r="B22" s="10" t="s">
        <v>4</v>
      </c>
      <c r="C22" s="14">
        <f>SUM(C17:C21)</f>
        <v>1588810.5963073699</v>
      </c>
      <c r="D22" s="14">
        <f>SUM(D17:D21)</f>
        <v>1565107.066056493</v>
      </c>
      <c r="E22" s="32">
        <f t="shared" si="2"/>
        <v>-1.491904088880538E-2</v>
      </c>
      <c r="F22" s="32">
        <f t="shared" si="0"/>
        <v>-4.9730136296017935E-3</v>
      </c>
      <c r="G22" s="14">
        <f>SUM(G17:G21)</f>
        <v>1557323.767285208</v>
      </c>
      <c r="H22" s="14">
        <f>SUM(H17:H21)</f>
        <v>1549540.468513923</v>
      </c>
      <c r="I22" s="14">
        <f>SUM(I17:I21)</f>
        <v>1541757.169742638</v>
      </c>
      <c r="K22" s="39"/>
    </row>
    <row r="23" spans="2:12" x14ac:dyDescent="0.25">
      <c r="B23" s="11"/>
      <c r="L23" s="39"/>
    </row>
    <row r="24" spans="2:12" x14ac:dyDescent="0.25">
      <c r="B24" s="12"/>
    </row>
  </sheetData>
  <mergeCells count="3">
    <mergeCell ref="B3:I3"/>
    <mergeCell ref="B2:I2"/>
    <mergeCell ref="B1:I1"/>
  </mergeCells>
  <pageMargins left="0.7" right="0.7" top="0.75" bottom="0.75" header="0.3" footer="0.3"/>
  <pageSetup orientation="portrait" r:id="rId1"/>
  <headerFooter>
    <oddFooter>&amp;L&amp;F
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15"/>
  <sheetViews>
    <sheetView zoomScale="85" zoomScaleNormal="85" workbookViewId="0">
      <selection activeCell="D9" sqref="D9"/>
    </sheetView>
  </sheetViews>
  <sheetFormatPr defaultRowHeight="11.25" x14ac:dyDescent="0.2"/>
  <cols>
    <col min="2" max="2" width="20.33203125" customWidth="1"/>
    <col min="3" max="3" width="13" bestFit="1" customWidth="1"/>
    <col min="4" max="4" width="14.33203125" bestFit="1" customWidth="1"/>
    <col min="5" max="5" width="27.33203125" customWidth="1"/>
  </cols>
  <sheetData>
    <row r="1" spans="1:13" x14ac:dyDescent="0.2">
      <c r="A1" s="110" t="str">
        <f>'Distribution 1 Year'!A1:E1</f>
        <v>SAN DIEGO GAS &amp; ELECTRIC COMPANY</v>
      </c>
      <c r="B1" s="110"/>
      <c r="C1" s="110"/>
      <c r="D1" s="110"/>
      <c r="E1" s="110"/>
      <c r="F1" s="110"/>
    </row>
    <row r="2" spans="1:13" x14ac:dyDescent="0.2">
      <c r="A2" s="110" t="str">
        <f>'Distribution 1 Year'!A2:E2</f>
        <v>TEST YEAR 2019 GENERAL RATE CASE PHASE 2, APPLICATION 19-03-002</v>
      </c>
      <c r="B2" s="110"/>
      <c r="C2" s="110"/>
      <c r="D2" s="110"/>
      <c r="E2" s="110"/>
      <c r="F2" s="110"/>
    </row>
    <row r="3" spans="1:13" x14ac:dyDescent="0.2">
      <c r="A3" s="110" t="str">
        <f>'Distribution 1 Year'!A3:E3</f>
        <v>REVENUE ALLOCATION WORKPAPERS - CHAPTER 2</v>
      </c>
      <c r="B3" s="110"/>
      <c r="C3" s="110"/>
      <c r="D3" s="110"/>
      <c r="E3" s="110"/>
      <c r="F3" s="110"/>
    </row>
    <row r="6" spans="1:13" ht="15" x14ac:dyDescent="0.25">
      <c r="B6" s="31" t="s">
        <v>52</v>
      </c>
    </row>
    <row r="8" spans="1:13" ht="15" x14ac:dyDescent="0.25">
      <c r="C8" s="4" t="s">
        <v>7</v>
      </c>
      <c r="D8" s="4" t="s">
        <v>8</v>
      </c>
      <c r="E8" s="4" t="s">
        <v>9</v>
      </c>
    </row>
    <row r="9" spans="1:13" ht="15" x14ac:dyDescent="0.25">
      <c r="B9" s="4" t="s">
        <v>2</v>
      </c>
      <c r="C9" s="36">
        <v>0.41548062462667706</v>
      </c>
      <c r="D9" s="37">
        <f>C9</f>
        <v>0.41548062462667706</v>
      </c>
      <c r="E9" s="34">
        <f>(D9-C9)/C9</f>
        <v>0</v>
      </c>
    </row>
    <row r="10" spans="1:13" ht="15" x14ac:dyDescent="0.25">
      <c r="B10" s="4" t="s">
        <v>10</v>
      </c>
      <c r="C10" s="36">
        <v>0.11372317853934664</v>
      </c>
      <c r="D10" s="37">
        <f t="shared" ref="D10:D13" si="0">C10</f>
        <v>0.11372317853934664</v>
      </c>
      <c r="E10" s="34">
        <f>(D10-C10)/C10</f>
        <v>0</v>
      </c>
    </row>
    <row r="11" spans="1:13" ht="15" x14ac:dyDescent="0.25">
      <c r="B11" s="4" t="s">
        <v>11</v>
      </c>
      <c r="C11" s="36">
        <v>0.44961563628046675</v>
      </c>
      <c r="D11" s="37">
        <f t="shared" si="0"/>
        <v>0.44961563628046675</v>
      </c>
      <c r="E11" s="34">
        <f>(D11-C11)/C11</f>
        <v>0</v>
      </c>
    </row>
    <row r="12" spans="1:13" ht="15" x14ac:dyDescent="0.25">
      <c r="B12" s="13" t="s">
        <v>3</v>
      </c>
      <c r="C12" s="36">
        <v>1.5896832423387675E-2</v>
      </c>
      <c r="D12" s="37">
        <f t="shared" si="0"/>
        <v>1.5896832423387675E-2</v>
      </c>
      <c r="E12" s="34">
        <f>(D12-C12)/C12</f>
        <v>0</v>
      </c>
    </row>
    <row r="13" spans="1:13" ht="15" x14ac:dyDescent="0.25">
      <c r="B13" s="4" t="s">
        <v>12</v>
      </c>
      <c r="C13" s="36">
        <v>5.2837281301218522E-3</v>
      </c>
      <c r="D13" s="37">
        <f t="shared" si="0"/>
        <v>5.2837281301218522E-3</v>
      </c>
      <c r="E13" s="34">
        <f>(D13-C13)/C13</f>
        <v>0</v>
      </c>
    </row>
    <row r="15" spans="1:13" ht="15.75" x14ac:dyDescent="0.25">
      <c r="M15" s="104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headerFooter>
    <oddFooter>&amp;L&amp;F
&amp;A&amp;R&amp;P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44"/>
  <sheetViews>
    <sheetView tabSelected="1" zoomScale="85" zoomScaleNormal="85" workbookViewId="0">
      <selection activeCell="H14" sqref="H14"/>
    </sheetView>
  </sheetViews>
  <sheetFormatPr defaultColWidth="9.33203125" defaultRowHeight="15" x14ac:dyDescent="0.25"/>
  <cols>
    <col min="1" max="1" width="9.33203125" style="3"/>
    <col min="2" max="2" width="15.33203125" style="3" bestFit="1" customWidth="1"/>
    <col min="3" max="3" width="15" style="3" bestFit="1" customWidth="1"/>
    <col min="4" max="4" width="14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5" spans="1:6" x14ac:dyDescent="0.25">
      <c r="B5" s="31" t="s">
        <v>30</v>
      </c>
    </row>
    <row r="6" spans="1:6" x14ac:dyDescent="0.25">
      <c r="B6" s="33"/>
      <c r="C6" s="4" t="s">
        <v>7</v>
      </c>
      <c r="D6" s="4" t="s">
        <v>8</v>
      </c>
      <c r="E6" s="4" t="s">
        <v>9</v>
      </c>
    </row>
    <row r="7" spans="1:6" x14ac:dyDescent="0.25">
      <c r="B7" s="4" t="s">
        <v>2</v>
      </c>
      <c r="C7" s="36">
        <v>0.42829805435073137</v>
      </c>
      <c r="D7" s="37">
        <v>0.42829762764116119</v>
      </c>
      <c r="E7" s="34">
        <f>(D7-C7)/C7</f>
        <v>-9.962911711683308E-7</v>
      </c>
    </row>
    <row r="8" spans="1:6" x14ac:dyDescent="0.25">
      <c r="B8" s="4" t="s">
        <v>10</v>
      </c>
      <c r="C8" s="36">
        <v>0.13271428239502228</v>
      </c>
      <c r="D8" s="37">
        <v>0.13202604990934458</v>
      </c>
      <c r="E8" s="34">
        <f>(D8-C8)/C8</f>
        <v>-5.1858207968091072E-3</v>
      </c>
    </row>
    <row r="9" spans="1:6" x14ac:dyDescent="0.25">
      <c r="B9" s="4" t="s">
        <v>11</v>
      </c>
      <c r="C9" s="36">
        <v>0.42030832470214263</v>
      </c>
      <c r="D9" s="37">
        <v>0.40330917347537121</v>
      </c>
      <c r="E9" s="34">
        <f>(D9-C9)/C9</f>
        <v>-4.0444479035284663E-2</v>
      </c>
    </row>
    <row r="10" spans="1:6" x14ac:dyDescent="0.25">
      <c r="B10" s="13" t="s">
        <v>3</v>
      </c>
      <c r="C10" s="36">
        <v>1.4992320849857636E-2</v>
      </c>
      <c r="D10" s="37">
        <v>1.4951208047804129E-2</v>
      </c>
      <c r="E10" s="34">
        <f>(D10-C10)/C10</f>
        <v>-2.7422573506287215E-3</v>
      </c>
    </row>
    <row r="11" spans="1:6" x14ac:dyDescent="0.25">
      <c r="B11" s="4" t="s">
        <v>12</v>
      </c>
      <c r="C11" s="36">
        <v>3.6870177022459631E-3</v>
      </c>
      <c r="D11" s="37">
        <v>3.6684349892851446E-3</v>
      </c>
      <c r="E11" s="34">
        <f>(D11-C11)/C11</f>
        <v>-5.0400389858445051E-3</v>
      </c>
    </row>
    <row r="12" spans="1:6" x14ac:dyDescent="0.25">
      <c r="B12" s="4" t="s">
        <v>111</v>
      </c>
      <c r="C12" s="3">
        <v>0</v>
      </c>
      <c r="D12" s="6">
        <v>1.774750593703333E-2</v>
      </c>
      <c r="E12" s="6">
        <f>IF(ISERROR(D12-C12/C12),0,D12-C12/C12)</f>
        <v>0</v>
      </c>
    </row>
    <row r="13" spans="1:6" ht="15.75" thickBot="1" x14ac:dyDescent="0.3">
      <c r="B13" s="4"/>
    </row>
    <row r="14" spans="1:6" ht="60.75" thickBot="1" x14ac:dyDescent="0.3">
      <c r="B14" s="8"/>
      <c r="C14" s="9" t="s">
        <v>17</v>
      </c>
      <c r="D14" s="9" t="s">
        <v>18</v>
      </c>
      <c r="E14" s="9" t="s">
        <v>15</v>
      </c>
    </row>
    <row r="15" spans="1:6" ht="15.75" thickBot="1" x14ac:dyDescent="0.3">
      <c r="B15" s="10" t="s">
        <v>2</v>
      </c>
      <c r="C15" s="14">
        <f t="shared" ref="C15:C20" si="0">$C$21*C7</f>
        <v>603592.50779147819</v>
      </c>
      <c r="D15" s="14">
        <f>$D$21*D7</f>
        <v>603591.90643759177</v>
      </c>
      <c r="E15" s="32">
        <f t="shared" ref="E15:E21" si="1">(D15-C15)/C15</f>
        <v>-9.9629117104380446E-7</v>
      </c>
    </row>
    <row r="16" spans="1:6" ht="30.75" thickBot="1" x14ac:dyDescent="0.3">
      <c r="B16" s="10" t="s">
        <v>5</v>
      </c>
      <c r="C16" s="14">
        <f t="shared" si="0"/>
        <v>187031.77779313474</v>
      </c>
      <c r="D16" s="14">
        <f>$D$21*D8</f>
        <v>186061.86451019091</v>
      </c>
      <c r="E16" s="32">
        <f t="shared" si="1"/>
        <v>-5.1858207968091792E-3</v>
      </c>
    </row>
    <row r="17" spans="2:5" ht="15.75" thickBot="1" x14ac:dyDescent="0.3">
      <c r="B17" s="10" t="s">
        <v>11</v>
      </c>
      <c r="C17" s="14">
        <f t="shared" si="0"/>
        <v>592332.72991908458</v>
      </c>
      <c r="D17" s="14">
        <f>$D$21*D9</f>
        <v>568376.1412419593</v>
      </c>
      <c r="E17" s="32">
        <f t="shared" si="1"/>
        <v>-4.0444479035284552E-2</v>
      </c>
    </row>
    <row r="18" spans="2:5" ht="15.75" thickBot="1" x14ac:dyDescent="0.3">
      <c r="B18" s="10" t="s">
        <v>16</v>
      </c>
      <c r="C18" s="14">
        <f t="shared" si="0"/>
        <v>21128.39983150996</v>
      </c>
      <c r="D18" s="14">
        <f t="shared" ref="D18:D20" si="2">$D$21*D10</f>
        <v>21070.460321764978</v>
      </c>
      <c r="E18" s="32">
        <f t="shared" si="1"/>
        <v>-2.7422573506287523E-3</v>
      </c>
    </row>
    <row r="19" spans="2:5" ht="15.75" thickBot="1" x14ac:dyDescent="0.3">
      <c r="B19" s="10" t="s">
        <v>12</v>
      </c>
      <c r="C19" s="14">
        <f t="shared" si="0"/>
        <v>5196.0456942627115</v>
      </c>
      <c r="D19" s="14">
        <f t="shared" si="2"/>
        <v>5169.857421391398</v>
      </c>
      <c r="E19" s="32">
        <f t="shared" si="1"/>
        <v>-5.0400389858445025E-3</v>
      </c>
    </row>
    <row r="20" spans="2:5" ht="15.75" thickBot="1" x14ac:dyDescent="0.3">
      <c r="B20" s="10" t="s">
        <v>110</v>
      </c>
      <c r="C20" s="14">
        <f t="shared" si="0"/>
        <v>0</v>
      </c>
      <c r="D20" s="14">
        <f t="shared" si="2"/>
        <v>25011.231096571533</v>
      </c>
      <c r="E20" s="32">
        <f>IF(ISERROR(D20-C20/C20),0,D20-C20/C20)</f>
        <v>0</v>
      </c>
    </row>
    <row r="21" spans="2:5" ht="15.75" thickBot="1" x14ac:dyDescent="0.3">
      <c r="B21" s="10" t="s">
        <v>4</v>
      </c>
      <c r="C21" s="14">
        <v>1409281.4610294704</v>
      </c>
      <c r="D21" s="14">
        <f>C21</f>
        <v>1409281.4610294704</v>
      </c>
      <c r="E21" s="32">
        <f t="shared" si="1"/>
        <v>0</v>
      </c>
    </row>
    <row r="23" spans="2:5" x14ac:dyDescent="0.25">
      <c r="B23" s="12"/>
    </row>
    <row r="26" spans="2:5" x14ac:dyDescent="0.25">
      <c r="B26" s="87"/>
      <c r="C26" s="87"/>
      <c r="D26" s="87"/>
      <c r="E26" s="87"/>
    </row>
    <row r="27" spans="2:5" x14ac:dyDescent="0.25">
      <c r="B27" s="88"/>
      <c r="C27" s="89"/>
      <c r="D27" s="89"/>
      <c r="E27" s="89"/>
    </row>
    <row r="28" spans="2:5" x14ac:dyDescent="0.25">
      <c r="B28" s="89"/>
      <c r="C28" s="13"/>
      <c r="D28" s="13"/>
      <c r="E28" s="13"/>
    </row>
    <row r="29" spans="2:5" x14ac:dyDescent="0.25">
      <c r="B29" s="13"/>
      <c r="C29" s="90"/>
      <c r="D29" s="90"/>
      <c r="E29" s="91"/>
    </row>
    <row r="30" spans="2:5" x14ac:dyDescent="0.25">
      <c r="B30" s="13"/>
      <c r="C30" s="90"/>
      <c r="D30" s="90"/>
      <c r="E30" s="91"/>
    </row>
    <row r="31" spans="2:5" x14ac:dyDescent="0.25">
      <c r="B31" s="13"/>
      <c r="C31" s="90"/>
      <c r="D31" s="90"/>
      <c r="E31" s="91"/>
    </row>
    <row r="32" spans="2:5" x14ac:dyDescent="0.25">
      <c r="B32" s="13"/>
      <c r="C32" s="90"/>
      <c r="D32" s="90"/>
      <c r="E32" s="91"/>
    </row>
    <row r="33" spans="2:5" x14ac:dyDescent="0.25">
      <c r="B33" s="13"/>
      <c r="C33" s="90"/>
      <c r="D33" s="90"/>
      <c r="E33" s="91"/>
    </row>
    <row r="34" spans="2:5" x14ac:dyDescent="0.25">
      <c r="B34" s="87"/>
      <c r="C34" s="92"/>
      <c r="D34" s="87"/>
      <c r="E34" s="87"/>
    </row>
    <row r="35" spans="2:5" x14ac:dyDescent="0.25">
      <c r="B35" s="13"/>
      <c r="C35" s="87"/>
      <c r="D35" s="87"/>
      <c r="E35" s="87"/>
    </row>
    <row r="36" spans="2:5" x14ac:dyDescent="0.25">
      <c r="B36" s="93"/>
      <c r="C36" s="93"/>
      <c r="D36" s="93"/>
      <c r="E36" s="93"/>
    </row>
    <row r="37" spans="2:5" x14ac:dyDescent="0.25">
      <c r="B37" s="94"/>
      <c r="C37" s="95"/>
      <c r="D37" s="95"/>
      <c r="E37" s="96"/>
    </row>
    <row r="38" spans="2:5" x14ac:dyDescent="0.25">
      <c r="B38" s="94"/>
      <c r="C38" s="95"/>
      <c r="D38" s="95"/>
      <c r="E38" s="96"/>
    </row>
    <row r="39" spans="2:5" x14ac:dyDescent="0.25">
      <c r="B39" s="94"/>
      <c r="C39" s="95"/>
      <c r="D39" s="95"/>
      <c r="E39" s="96"/>
    </row>
    <row r="40" spans="2:5" x14ac:dyDescent="0.25">
      <c r="B40" s="94"/>
      <c r="C40" s="95"/>
      <c r="D40" s="95"/>
      <c r="E40" s="96"/>
    </row>
    <row r="41" spans="2:5" x14ac:dyDescent="0.25">
      <c r="B41" s="94"/>
      <c r="C41" s="95"/>
      <c r="D41" s="95"/>
      <c r="E41" s="96"/>
    </row>
    <row r="42" spans="2:5" x14ac:dyDescent="0.25">
      <c r="B42" s="94"/>
      <c r="C42" s="95"/>
      <c r="D42" s="95"/>
      <c r="E42" s="96"/>
    </row>
    <row r="44" spans="2:5" x14ac:dyDescent="0.25">
      <c r="B44" s="12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headerFooter>
    <oddFooter>&amp;L&amp;F
&amp;A&amp;R&amp;P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F29"/>
  <sheetViews>
    <sheetView zoomScale="85" zoomScaleNormal="85" workbookViewId="0">
      <selection activeCell="D12" sqref="D12"/>
    </sheetView>
  </sheetViews>
  <sheetFormatPr defaultColWidth="9.33203125" defaultRowHeight="15" x14ac:dyDescent="0.25"/>
  <cols>
    <col min="1" max="1" width="10.6640625" style="3" customWidth="1"/>
    <col min="2" max="2" width="22" style="3" customWidth="1"/>
    <col min="3" max="3" width="14" style="3" bestFit="1" customWidth="1"/>
    <col min="4" max="4" width="16.6640625" style="3" bestFit="1" customWidth="1"/>
    <col min="5" max="5" width="25.33203125" style="3" bestFit="1" customWidth="1"/>
    <col min="6" max="6" width="10" style="3" customWidth="1"/>
    <col min="7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6" x14ac:dyDescent="0.25">
      <c r="B6" s="33"/>
      <c r="C6" s="4" t="s">
        <v>24</v>
      </c>
      <c r="D6" s="4" t="s">
        <v>31</v>
      </c>
      <c r="E6" s="4" t="s">
        <v>9</v>
      </c>
    </row>
    <row r="7" spans="1:6" x14ac:dyDescent="0.25">
      <c r="B7" s="4" t="s">
        <v>2</v>
      </c>
      <c r="C7" s="36">
        <v>0.41758550488958696</v>
      </c>
      <c r="D7" s="37">
        <v>0.41758550488958696</v>
      </c>
      <c r="E7" s="34">
        <f>(D7-C7)/C7</f>
        <v>0</v>
      </c>
    </row>
    <row r="8" spans="1:6" x14ac:dyDescent="0.25">
      <c r="B8" s="4" t="s">
        <v>25</v>
      </c>
      <c r="C8" s="36">
        <v>0.10826782975990763</v>
      </c>
      <c r="D8" s="36">
        <v>0.10826782975990763</v>
      </c>
      <c r="E8" s="34">
        <f>(D8-C8)/C8</f>
        <v>0</v>
      </c>
    </row>
    <row r="9" spans="1:6" x14ac:dyDescent="0.25">
      <c r="B9" s="4" t="s">
        <v>11</v>
      </c>
      <c r="C9" s="36">
        <v>0.46145420742217486</v>
      </c>
      <c r="D9" s="36">
        <v>0.46145420742217486</v>
      </c>
      <c r="E9" s="34">
        <f>(D9-C9)/C9</f>
        <v>0</v>
      </c>
    </row>
    <row r="10" spans="1:6" x14ac:dyDescent="0.25">
      <c r="B10" s="4" t="s">
        <v>3</v>
      </c>
      <c r="C10" s="36">
        <v>9.0131670581601424E-3</v>
      </c>
      <c r="D10" s="36">
        <v>9.0131670581601424E-3</v>
      </c>
      <c r="E10" s="34">
        <f>(D10-C10)/C10</f>
        <v>0</v>
      </c>
    </row>
    <row r="11" spans="1:6" x14ac:dyDescent="0.25">
      <c r="B11" s="4" t="s">
        <v>12</v>
      </c>
      <c r="C11" s="36">
        <v>3.6792908701705658E-3</v>
      </c>
      <c r="D11" s="36">
        <v>3.6792908701705658E-3</v>
      </c>
      <c r="E11" s="34">
        <f>(D11-C11)/C11</f>
        <v>0</v>
      </c>
    </row>
    <row r="12" spans="1:6" x14ac:dyDescent="0.25">
      <c r="B12" s="4"/>
      <c r="C12" s="5"/>
      <c r="D12" s="16"/>
      <c r="E12" s="6"/>
    </row>
    <row r="13" spans="1:6" x14ac:dyDescent="0.25">
      <c r="C13" s="6"/>
    </row>
    <row r="14" spans="1:6" x14ac:dyDescent="0.25">
      <c r="B14" s="19" t="s">
        <v>112</v>
      </c>
      <c r="C14" s="66"/>
      <c r="D14" s="21"/>
    </row>
    <row r="15" spans="1:6" x14ac:dyDescent="0.25">
      <c r="B15" s="19"/>
      <c r="C15" s="66"/>
      <c r="D15" s="21"/>
    </row>
    <row r="16" spans="1:6" x14ac:dyDescent="0.25">
      <c r="B16" s="19"/>
      <c r="C16" s="66"/>
      <c r="D16" s="21"/>
    </row>
    <row r="17" spans="1:6" x14ac:dyDescent="0.25">
      <c r="B17" s="12"/>
      <c r="C17" s="20"/>
    </row>
    <row r="18" spans="1:6" x14ac:dyDescent="0.25">
      <c r="C18" s="5"/>
    </row>
    <row r="19" spans="1:6" x14ac:dyDescent="0.25">
      <c r="C19" s="5"/>
    </row>
    <row r="20" spans="1:6" x14ac:dyDescent="0.25">
      <c r="C20" s="5"/>
      <c r="F20" s="21"/>
    </row>
    <row r="21" spans="1:6" x14ac:dyDescent="0.25">
      <c r="B21" s="21"/>
    </row>
    <row r="29" spans="1:6" x14ac:dyDescent="0.25">
      <c r="A29" s="21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headerFooter>
    <oddFooter>&amp;L&amp;F
&amp;A&amp;R&amp;P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30"/>
  <sheetViews>
    <sheetView zoomScale="85" zoomScaleNormal="85" workbookViewId="0">
      <selection activeCell="E7" sqref="E7"/>
    </sheetView>
  </sheetViews>
  <sheetFormatPr defaultColWidth="9.33203125" defaultRowHeight="15" x14ac:dyDescent="0.25"/>
  <cols>
    <col min="1" max="1" width="9.33203125" style="3"/>
    <col min="2" max="2" width="15.33203125" style="3" bestFit="1" customWidth="1"/>
    <col min="3" max="4" width="15.6640625" style="3" bestFit="1" customWidth="1"/>
    <col min="5" max="5" width="25.33203125" style="3" bestFit="1" customWidth="1"/>
    <col min="6" max="12" width="9.33203125" style="3"/>
    <col min="13" max="13" width="16.33203125" style="3" bestFit="1" customWidth="1"/>
    <col min="14" max="14" width="39.6640625" style="3" bestFit="1" customWidth="1"/>
    <col min="15" max="15" width="24.6640625" style="3" bestFit="1" customWidth="1"/>
    <col min="16" max="16384" width="9.33203125" style="3"/>
  </cols>
  <sheetData>
    <row r="1" spans="1:15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15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15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15" x14ac:dyDescent="0.25">
      <c r="B6" s="33"/>
      <c r="C6" s="4" t="s">
        <v>7</v>
      </c>
      <c r="D6" s="4" t="s">
        <v>8</v>
      </c>
      <c r="E6" s="4" t="s">
        <v>9</v>
      </c>
    </row>
    <row r="7" spans="1:15" x14ac:dyDescent="0.25">
      <c r="B7" s="4" t="s">
        <v>2</v>
      </c>
      <c r="C7" s="36">
        <v>0.38553271851922483</v>
      </c>
      <c r="D7" s="37">
        <v>0.38553229361370073</v>
      </c>
      <c r="E7" s="34">
        <f>(D7-C7)/C7</f>
        <v>-1.1021257177108542E-6</v>
      </c>
    </row>
    <row r="8" spans="1:15" x14ac:dyDescent="0.25">
      <c r="B8" s="4" t="s">
        <v>10</v>
      </c>
      <c r="C8" s="36">
        <v>0.12564876511337161</v>
      </c>
      <c r="D8" s="37">
        <v>0.12492754860927764</v>
      </c>
      <c r="E8" s="34">
        <f>(D8-C8)/C8</f>
        <v>-5.7399410447307245E-3</v>
      </c>
    </row>
    <row r="9" spans="1:15" x14ac:dyDescent="0.25">
      <c r="B9" s="4" t="s">
        <v>11</v>
      </c>
      <c r="C9" s="36">
        <v>0.47788725814771449</v>
      </c>
      <c r="D9" s="37">
        <v>0.45873441156800937</v>
      </c>
      <c r="E9" s="34">
        <f>(D9-C9)/C9</f>
        <v>-4.007816959577732E-2</v>
      </c>
    </row>
    <row r="10" spans="1:15" x14ac:dyDescent="0.25">
      <c r="B10" s="4" t="s">
        <v>3</v>
      </c>
      <c r="C10" s="36">
        <v>1.0618791643714346E-2</v>
      </c>
      <c r="D10" s="37">
        <v>1.0587361609700894E-2</v>
      </c>
      <c r="E10" s="34">
        <f>(D10-C10)/C10</f>
        <v>-2.9598503358955219E-3</v>
      </c>
    </row>
    <row r="11" spans="1:15" x14ac:dyDescent="0.25">
      <c r="B11" s="15" t="s">
        <v>12</v>
      </c>
      <c r="C11" s="37">
        <v>3.1246657597469921E-4</v>
      </c>
      <c r="D11" s="37">
        <v>3.1246657597469899E-4</v>
      </c>
      <c r="E11" s="34">
        <f>(D11-C11)/C11</f>
        <v>-6.939636145744392E-16</v>
      </c>
    </row>
    <row r="12" spans="1:15" x14ac:dyDescent="0.25">
      <c r="B12" s="15" t="s">
        <v>110</v>
      </c>
      <c r="C12" s="37">
        <v>0</v>
      </c>
      <c r="D12" s="37">
        <v>1.9905918023336723E-2</v>
      </c>
      <c r="E12" s="6">
        <f>IF(ISERROR(D12-C12/C12),0,D12-C12/C12)</f>
        <v>0</v>
      </c>
    </row>
    <row r="13" spans="1:15" ht="15.75" thickBot="1" x14ac:dyDescent="0.3">
      <c r="L13" s="38"/>
      <c r="M13" s="38"/>
      <c r="N13" s="38"/>
      <c r="O13" s="38"/>
    </row>
    <row r="14" spans="1:15" ht="60.75" thickBot="1" x14ac:dyDescent="0.3">
      <c r="B14" s="8"/>
      <c r="C14" s="9" t="s">
        <v>17</v>
      </c>
      <c r="D14" s="9" t="s">
        <v>18</v>
      </c>
      <c r="E14" s="9" t="s">
        <v>15</v>
      </c>
      <c r="L14" s="38"/>
      <c r="M14" s="38"/>
      <c r="N14" s="38"/>
      <c r="O14" s="106"/>
    </row>
    <row r="15" spans="1:15" ht="15.75" thickBot="1" x14ac:dyDescent="0.3">
      <c r="B15" s="10" t="s">
        <v>2</v>
      </c>
      <c r="C15" s="105">
        <f>$C$21*C7</f>
        <v>6178.1119622254109</v>
      </c>
      <c r="D15" s="105">
        <f t="shared" ref="D15:D20" si="0">D7*$D$21</f>
        <v>6178.1051531693283</v>
      </c>
      <c r="E15" s="32">
        <f t="shared" ref="E15:E21" si="1">(D15-C15)/C15</f>
        <v>-1.1021257180566698E-6</v>
      </c>
      <c r="L15" s="38"/>
      <c r="M15" s="38"/>
      <c r="N15" s="38"/>
      <c r="O15" s="106"/>
    </row>
    <row r="16" spans="1:15" ht="30.75" thickBot="1" x14ac:dyDescent="0.3">
      <c r="B16" s="10" t="s">
        <v>5</v>
      </c>
      <c r="C16" s="105">
        <f t="shared" ref="C16:C18" si="2">$C$21*C8</f>
        <v>2013.5052136880124</v>
      </c>
      <c r="D16" s="105">
        <f t="shared" si="0"/>
        <v>2001.9478124681846</v>
      </c>
      <c r="E16" s="32">
        <f t="shared" si="1"/>
        <v>-5.7399410447310827E-3</v>
      </c>
      <c r="L16" s="38"/>
      <c r="M16" s="38"/>
      <c r="N16" s="38"/>
      <c r="O16" s="106"/>
    </row>
    <row r="17" spans="2:15" ht="15.75" thickBot="1" x14ac:dyDescent="0.3">
      <c r="B17" s="10" t="s">
        <v>11</v>
      </c>
      <c r="C17" s="105">
        <f t="shared" si="2"/>
        <v>7658.0815176916631</v>
      </c>
      <c r="D17" s="105">
        <f t="shared" si="0"/>
        <v>7351.1596278473262</v>
      </c>
      <c r="E17" s="32">
        <f t="shared" si="1"/>
        <v>-4.007816959577766E-2</v>
      </c>
      <c r="L17" s="38"/>
      <c r="M17" s="38"/>
      <c r="N17" s="38"/>
      <c r="O17" s="106"/>
    </row>
    <row r="18" spans="2:15" ht="15.75" thickBot="1" x14ac:dyDescent="0.3">
      <c r="B18" s="10" t="s">
        <v>16</v>
      </c>
      <c r="C18" s="105">
        <f t="shared" si="2"/>
        <v>170.16476300736963</v>
      </c>
      <c r="D18" s="105">
        <f>D10*$D$21</f>
        <v>169.66110077642463</v>
      </c>
      <c r="E18" s="32">
        <f t="shared" si="1"/>
        <v>-2.9598503358958268E-3</v>
      </c>
      <c r="L18" s="38"/>
      <c r="M18" s="38"/>
      <c r="N18" s="38"/>
      <c r="O18" s="106"/>
    </row>
    <row r="19" spans="2:15" ht="15.75" thickBot="1" x14ac:dyDescent="0.3">
      <c r="B19" s="10" t="s">
        <v>12</v>
      </c>
      <c r="C19" s="105">
        <f>$C$21*C11</f>
        <v>5.0072364759066259</v>
      </c>
      <c r="D19" s="105">
        <f t="shared" si="0"/>
        <v>5.0072364759066206</v>
      </c>
      <c r="E19" s="32">
        <f t="shared" si="1"/>
        <v>-1.0642737853190472E-15</v>
      </c>
      <c r="L19" s="38"/>
      <c r="M19" s="38"/>
      <c r="N19" s="38"/>
      <c r="O19" s="106"/>
    </row>
    <row r="20" spans="2:15" ht="15.75" thickBot="1" x14ac:dyDescent="0.3">
      <c r="B20" s="10" t="s">
        <v>110</v>
      </c>
      <c r="C20" s="105">
        <v>0</v>
      </c>
      <c r="D20" s="105">
        <f t="shared" si="0"/>
        <v>318.98976235118801</v>
      </c>
      <c r="E20" s="32">
        <f>IF(ISERROR(D20-C20/C20),0,D20-C20/C20)</f>
        <v>0</v>
      </c>
      <c r="L20" s="38"/>
      <c r="M20" s="38"/>
      <c r="N20" s="38"/>
      <c r="O20" s="106"/>
    </row>
    <row r="21" spans="2:15" ht="15.75" thickBot="1" x14ac:dyDescent="0.3">
      <c r="B21" s="10" t="s">
        <v>4</v>
      </c>
      <c r="C21" s="105">
        <v>16024.870693088364</v>
      </c>
      <c r="D21" s="105">
        <v>16024.870693088358</v>
      </c>
      <c r="E21" s="32">
        <f t="shared" si="1"/>
        <v>-3.4053118525263341E-16</v>
      </c>
    </row>
    <row r="22" spans="2:15" x14ac:dyDescent="0.25">
      <c r="B22" s="11"/>
    </row>
    <row r="23" spans="2:15" x14ac:dyDescent="0.25">
      <c r="B23" s="12"/>
      <c r="C23" s="38"/>
    </row>
    <row r="24" spans="2:15" x14ac:dyDescent="0.25">
      <c r="C24" s="38"/>
    </row>
    <row r="25" spans="2:15" x14ac:dyDescent="0.25">
      <c r="C25" s="38"/>
    </row>
    <row r="26" spans="2:15" x14ac:dyDescent="0.25">
      <c r="C26" s="38"/>
      <c r="D26" s="56"/>
    </row>
    <row r="27" spans="2:15" x14ac:dyDescent="0.25">
      <c r="C27" s="38"/>
    </row>
    <row r="28" spans="2:15" x14ac:dyDescent="0.25">
      <c r="C28" s="38"/>
    </row>
    <row r="29" spans="2:15" x14ac:dyDescent="0.25">
      <c r="C29" s="38"/>
    </row>
    <row r="30" spans="2:15" x14ac:dyDescent="0.25">
      <c r="C30" s="38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headerFooter>
    <oddFooter>&amp;L&amp;F
&amp;A&amp;R&amp;P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43"/>
  <sheetViews>
    <sheetView zoomScaleNormal="100" workbookViewId="0">
      <selection activeCell="I19" sqref="I19"/>
    </sheetView>
  </sheetViews>
  <sheetFormatPr defaultRowHeight="11.25" x14ac:dyDescent="0.2"/>
  <cols>
    <col min="2" max="2" width="15.33203125" bestFit="1" customWidth="1"/>
    <col min="3" max="3" width="19" bestFit="1" customWidth="1"/>
    <col min="4" max="4" width="18" bestFit="1" customWidth="1"/>
    <col min="5" max="5" width="25.6640625" bestFit="1" customWidth="1"/>
    <col min="6" max="6" width="18" bestFit="1" customWidth="1"/>
    <col min="7" max="7" width="14.6640625" bestFit="1" customWidth="1"/>
    <col min="8" max="9" width="13.33203125" bestFit="1" customWidth="1"/>
    <col min="10" max="10" width="13.6640625" customWidth="1"/>
    <col min="11" max="11" width="15.6640625" customWidth="1"/>
    <col min="13" max="13" width="13" bestFit="1" customWidth="1"/>
    <col min="14" max="15" width="14.33203125" bestFit="1" customWidth="1"/>
    <col min="16" max="16" width="10.6640625" bestFit="1" customWidth="1"/>
    <col min="17" max="17" width="11" bestFit="1" customWidth="1"/>
  </cols>
  <sheetData>
    <row r="1" spans="1:16" x14ac:dyDescent="0.2">
      <c r="A1" s="110" t="str">
        <f>'Distribution 1 Year'!A1:F1</f>
        <v>SAN DIEGO GAS &amp; ELECTRIC COMPANY</v>
      </c>
      <c r="B1" s="110"/>
      <c r="C1" s="110"/>
      <c r="D1" s="110"/>
      <c r="E1" s="110"/>
      <c r="F1" s="110"/>
      <c r="G1" s="110"/>
    </row>
    <row r="2" spans="1:16" x14ac:dyDescent="0.2">
      <c r="A2" s="110" t="str">
        <f>'Distribution 1 Year'!A2:F2</f>
        <v>TEST YEAR 2019 GENERAL RATE CASE PHASE 2, APPLICATION 19-03-002</v>
      </c>
      <c r="B2" s="110"/>
      <c r="C2" s="110"/>
      <c r="D2" s="110"/>
      <c r="E2" s="110"/>
      <c r="F2" s="110"/>
      <c r="G2" s="58"/>
    </row>
    <row r="3" spans="1:16" x14ac:dyDescent="0.2">
      <c r="A3" s="110" t="str">
        <f>'Distribution 1 Year'!A3:F3</f>
        <v>REVENUE ALLOCATION WORKPAPERS - CHAPTER 2</v>
      </c>
      <c r="B3" s="110"/>
      <c r="C3" s="110"/>
      <c r="D3" s="110"/>
      <c r="E3" s="110"/>
      <c r="F3" s="110"/>
      <c r="G3" s="111"/>
      <c r="M3" s="77"/>
      <c r="N3" s="77"/>
      <c r="O3" s="77"/>
      <c r="P3" s="77"/>
    </row>
    <row r="4" spans="1:16" x14ac:dyDescent="0.2">
      <c r="M4" s="99"/>
      <c r="N4" s="99"/>
      <c r="O4" s="99"/>
      <c r="P4" s="77"/>
    </row>
    <row r="5" spans="1:16" ht="15" x14ac:dyDescent="0.25">
      <c r="M5" s="61"/>
      <c r="N5" s="61"/>
      <c r="O5" s="61"/>
      <c r="P5" s="61"/>
    </row>
    <row r="6" spans="1:16" ht="15" x14ac:dyDescent="0.25">
      <c r="B6" s="80"/>
      <c r="C6" s="15" t="s">
        <v>7</v>
      </c>
      <c r="D6" s="15" t="s">
        <v>8</v>
      </c>
      <c r="E6" s="15" t="s">
        <v>9</v>
      </c>
      <c r="F6" s="15"/>
      <c r="G6" s="15"/>
      <c r="H6" s="77"/>
      <c r="I6" s="77"/>
      <c r="J6" s="77"/>
      <c r="K6" s="77"/>
      <c r="M6" s="62"/>
      <c r="N6" s="62"/>
      <c r="O6" s="62"/>
      <c r="P6" s="62"/>
    </row>
    <row r="7" spans="1:16" ht="15" x14ac:dyDescent="0.25">
      <c r="B7" s="15" t="s">
        <v>2</v>
      </c>
      <c r="C7" s="37">
        <v>0.37698470996427319</v>
      </c>
      <c r="D7" s="37">
        <v>0.31445086254271098</v>
      </c>
      <c r="E7" s="81">
        <f>(D7-C7)/C7</f>
        <v>-0.16587900190299107</v>
      </c>
      <c r="F7" s="37"/>
      <c r="G7" s="81"/>
      <c r="H7" s="77"/>
      <c r="I7" s="77"/>
      <c r="J7" s="77"/>
      <c r="K7" s="77"/>
      <c r="M7" s="62"/>
      <c r="N7" s="62"/>
      <c r="O7" s="62"/>
      <c r="P7" s="62"/>
    </row>
    <row r="8" spans="1:16" ht="15" x14ac:dyDescent="0.25">
      <c r="B8" s="15" t="s">
        <v>10</v>
      </c>
      <c r="C8" s="37">
        <v>0.11538174511072351</v>
      </c>
      <c r="D8" s="37">
        <v>0.13030453235273948</v>
      </c>
      <c r="E8" s="81">
        <f>(D8-C8)/C8</f>
        <v>0.1293340400398317</v>
      </c>
      <c r="F8" s="37"/>
      <c r="G8" s="81"/>
      <c r="H8" s="77"/>
      <c r="I8" s="77"/>
      <c r="J8" s="77"/>
      <c r="K8" s="77"/>
      <c r="M8" s="62"/>
      <c r="N8" s="62"/>
      <c r="O8" s="62"/>
      <c r="P8" s="62"/>
    </row>
    <row r="9" spans="1:16" ht="15" x14ac:dyDescent="0.25">
      <c r="B9" s="15" t="s">
        <v>11</v>
      </c>
      <c r="C9" s="37">
        <v>0.49252070187880376</v>
      </c>
      <c r="D9" s="37">
        <v>0.53703393525452858</v>
      </c>
      <c r="E9" s="81">
        <f>(D9-C9)/C9</f>
        <v>9.0378400757412936E-2</v>
      </c>
      <c r="F9" s="37"/>
      <c r="G9" s="81"/>
      <c r="H9" s="77"/>
      <c r="I9" s="77"/>
      <c r="J9" s="77"/>
      <c r="K9" s="77"/>
      <c r="M9" s="62"/>
      <c r="N9" s="62"/>
      <c r="O9" s="62"/>
      <c r="P9" s="62"/>
    </row>
    <row r="10" spans="1:16" ht="15" x14ac:dyDescent="0.25">
      <c r="B10" s="15" t="s">
        <v>3</v>
      </c>
      <c r="C10" s="37">
        <v>1.4331471863130708E-2</v>
      </c>
      <c r="D10" s="37">
        <v>1.767317033576659E-2</v>
      </c>
      <c r="E10" s="81">
        <f>(D10-C10)/C10</f>
        <v>0.23317203596043545</v>
      </c>
      <c r="F10" s="37"/>
      <c r="G10" s="81"/>
      <c r="H10" s="77"/>
      <c r="I10" s="77"/>
      <c r="J10" s="77"/>
      <c r="K10" s="77"/>
      <c r="M10" s="62"/>
      <c r="N10" s="62"/>
      <c r="O10" s="62"/>
      <c r="P10" s="62"/>
    </row>
    <row r="11" spans="1:16" ht="15" x14ac:dyDescent="0.25">
      <c r="B11" s="15" t="s">
        <v>12</v>
      </c>
      <c r="C11" s="37">
        <v>7.8137118306885012E-4</v>
      </c>
      <c r="D11" s="37">
        <v>5.3749951425425147E-4</v>
      </c>
      <c r="E11" s="81">
        <f>(D11-C11)/C11</f>
        <v>-0.31210732376485661</v>
      </c>
      <c r="F11" s="37"/>
      <c r="G11" s="81"/>
      <c r="H11" s="77"/>
      <c r="I11" s="77"/>
      <c r="J11" s="77"/>
      <c r="K11" s="77"/>
      <c r="M11" s="77"/>
      <c r="N11" s="77"/>
      <c r="O11" s="77"/>
      <c r="P11" s="77"/>
    </row>
    <row r="12" spans="1:16" x14ac:dyDescent="0.2">
      <c r="B12" s="77"/>
      <c r="C12" s="77"/>
      <c r="D12" s="77"/>
      <c r="E12" s="77"/>
      <c r="F12" s="77"/>
      <c r="G12" s="77"/>
      <c r="H12" s="77"/>
      <c r="I12" s="77"/>
      <c r="J12" s="77"/>
      <c r="K12" s="77"/>
      <c r="M12" s="77"/>
      <c r="N12" s="77"/>
      <c r="O12" s="77"/>
      <c r="P12" s="77"/>
    </row>
    <row r="13" spans="1:16" x14ac:dyDescent="0.2">
      <c r="B13" s="77"/>
      <c r="C13" s="77"/>
      <c r="D13" s="77"/>
      <c r="E13" s="77"/>
      <c r="F13" s="77"/>
      <c r="G13" s="77"/>
      <c r="H13" s="77"/>
      <c r="I13" s="77"/>
      <c r="J13" s="77"/>
      <c r="K13" s="77"/>
      <c r="M13" s="99"/>
      <c r="N13" s="99"/>
      <c r="O13" s="99"/>
      <c r="P13" s="77"/>
    </row>
    <row r="14" spans="1:16" ht="15" x14ac:dyDescent="0.25">
      <c r="B14" s="77"/>
      <c r="C14" s="77"/>
      <c r="D14" s="77"/>
      <c r="E14" s="77"/>
      <c r="F14" s="77"/>
      <c r="G14" s="77"/>
      <c r="H14" s="77"/>
      <c r="I14" s="77"/>
      <c r="J14" s="77"/>
      <c r="K14" s="77"/>
      <c r="M14" s="61"/>
      <c r="N14" s="61"/>
      <c r="O14" s="61"/>
      <c r="P14" s="61"/>
    </row>
    <row r="15" spans="1:16" ht="15" x14ac:dyDescent="0.25">
      <c r="B15" s="80"/>
      <c r="C15" s="15" t="s">
        <v>40</v>
      </c>
      <c r="D15" s="15" t="s">
        <v>41</v>
      </c>
      <c r="E15" s="15" t="s">
        <v>48</v>
      </c>
      <c r="F15" s="15" t="s">
        <v>42</v>
      </c>
      <c r="G15" s="15" t="s">
        <v>85</v>
      </c>
      <c r="H15" s="15" t="s">
        <v>92</v>
      </c>
      <c r="I15" s="15" t="s">
        <v>97</v>
      </c>
      <c r="J15" s="15" t="s">
        <v>98</v>
      </c>
      <c r="K15" s="15" t="s">
        <v>113</v>
      </c>
      <c r="M15" s="62"/>
      <c r="N15" s="62"/>
      <c r="O15" s="62"/>
      <c r="P15" s="97"/>
    </row>
    <row r="16" spans="1:16" ht="15" x14ac:dyDescent="0.25">
      <c r="B16" s="15" t="s">
        <v>2</v>
      </c>
      <c r="C16" s="37">
        <f>'PPP - CARE'!E7</f>
        <v>-2.3816589030186932E-2</v>
      </c>
      <c r="D16" s="37">
        <f>'PPP - ESAP'!E7</f>
        <v>-2.1955119619730047E-2</v>
      </c>
      <c r="E16" s="37">
        <f>'PPP-EE and EPEEBA'!E7</f>
        <v>-0.43866444800780169</v>
      </c>
      <c r="F16" s="37">
        <f>'PPP- EPIC'!E7</f>
        <v>-2.2074847803960046E-2</v>
      </c>
      <c r="G16" s="37">
        <f>'PPP - SGIP'!E7</f>
        <v>-0.76617951279345264</v>
      </c>
      <c r="H16" s="37">
        <f>'PPP - CSI'!E7</f>
        <v>0</v>
      </c>
      <c r="I16" s="37">
        <f>'PPP - FERA'!E7</f>
        <v>-2.3816589030186932E-2</v>
      </c>
      <c r="J16" s="37">
        <f>'PPP - Food Bank'!E7</f>
        <v>-2.3816589030186932E-2</v>
      </c>
      <c r="K16" s="37">
        <f>'PPP - TMNB'!E7</f>
        <v>6.0694153286429695E-3</v>
      </c>
      <c r="M16" s="62"/>
      <c r="N16" s="62"/>
      <c r="O16" s="62"/>
      <c r="P16" s="97"/>
    </row>
    <row r="17" spans="2:16" ht="15" x14ac:dyDescent="0.25">
      <c r="B17" s="15" t="s">
        <v>10</v>
      </c>
      <c r="C17" s="37">
        <f>'PPP - CARE'!E8</f>
        <v>3.7706196404987118E-2</v>
      </c>
      <c r="D17" s="37">
        <f>'PPP - ESAP'!E8</f>
        <v>3.8553938946388297E-2</v>
      </c>
      <c r="E17" s="37">
        <f>'PPP-EE and EPEEBA'!E8</f>
        <v>0.37109773009852598</v>
      </c>
      <c r="F17" s="37">
        <f>'PPP- EPIC'!E8</f>
        <v>3.8426803495010313E-2</v>
      </c>
      <c r="G17" s="37">
        <f>'PPP - SGIP'!E8</f>
        <v>-1</v>
      </c>
      <c r="H17" s="37">
        <f>'PPP - CSI'!E8</f>
        <v>0</v>
      </c>
      <c r="I17" s="37">
        <f>'PPP - FERA'!E8</f>
        <v>3.7706196404987118E-2</v>
      </c>
      <c r="J17" s="37">
        <f>'PPP - Food Bank'!E8</f>
        <v>3.7706196404987118E-2</v>
      </c>
      <c r="K17" s="37">
        <f>'PPP - TMNB'!E8</f>
        <v>1.1720691157499581E-2</v>
      </c>
      <c r="M17" s="62"/>
      <c r="N17" s="62"/>
      <c r="O17" s="62"/>
      <c r="P17" s="97"/>
    </row>
    <row r="18" spans="2:16" ht="15" x14ac:dyDescent="0.25">
      <c r="B18" s="15" t="s">
        <v>11</v>
      </c>
      <c r="C18" s="37">
        <f>'PPP - CARE'!E9</f>
        <v>2.1450899201131469E-3</v>
      </c>
      <c r="D18" s="37">
        <f>'PPP - ESAP'!E9</f>
        <v>3.1552560856615269E-3</v>
      </c>
      <c r="E18" s="37">
        <f>'PPP-EE and EPEEBA'!E9</f>
        <v>0.37109773009852604</v>
      </c>
      <c r="F18" s="37">
        <f>'PPP- EPIC'!E9</f>
        <v>3.0324539937315901E-3</v>
      </c>
      <c r="G18" s="37">
        <f>'PPP - SGIP'!E9</f>
        <v>0.72637415214355727</v>
      </c>
      <c r="H18" s="37">
        <f>'PPP - CSI'!E9</f>
        <v>0</v>
      </c>
      <c r="I18" s="37">
        <f>'PPP - FERA'!E9</f>
        <v>2.1450899201131469E-3</v>
      </c>
      <c r="J18" s="37">
        <f>'PPP - Food Bank'!E9</f>
        <v>2.1450899201131469E-3</v>
      </c>
      <c r="K18" s="37">
        <f>'PPP - TMNB'!E9</f>
        <v>-8.5718057554694544E-3</v>
      </c>
      <c r="M18" s="62"/>
      <c r="N18" s="62"/>
      <c r="O18" s="62"/>
      <c r="P18" s="97"/>
    </row>
    <row r="19" spans="2:16" ht="15" x14ac:dyDescent="0.25">
      <c r="B19" s="15" t="s">
        <v>3</v>
      </c>
      <c r="C19" s="37">
        <f>'PPP - CARE'!E10</f>
        <v>0.12656015304645285</v>
      </c>
      <c r="D19" s="37">
        <f>'PPP - ESAP'!E10</f>
        <v>0.12775286880820266</v>
      </c>
      <c r="E19" s="37">
        <f>'PPP-EE and EPEEBA'!E10</f>
        <v>0.63380890317036509</v>
      </c>
      <c r="F19" s="37">
        <f>'PPP- EPIC'!E10</f>
        <v>0.12761481399502256</v>
      </c>
      <c r="G19" s="37">
        <f>'PPP - SGIP'!E10</f>
        <v>1.5004665205209671</v>
      </c>
      <c r="H19" s="37">
        <f>'PPP - CSI'!E10</f>
        <v>0</v>
      </c>
      <c r="I19" s="37">
        <f>'PPP - FERA'!E10</f>
        <v>0.12656015304645285</v>
      </c>
      <c r="J19" s="37">
        <f>'PPP - Food Bank'!E10</f>
        <v>0.12656015304645285</v>
      </c>
      <c r="K19" s="37">
        <f>'PPP - TMNB'!E10</f>
        <v>1.7067607531285403E-2</v>
      </c>
      <c r="M19" s="62"/>
      <c r="N19" s="62"/>
      <c r="O19" s="62"/>
      <c r="P19" s="97"/>
    </row>
    <row r="20" spans="2:16" ht="15" x14ac:dyDescent="0.25">
      <c r="B20" s="15" t="s">
        <v>12</v>
      </c>
      <c r="C20" s="37"/>
      <c r="D20" s="37"/>
      <c r="E20" s="37">
        <f>'PPP-EE and EPEEBA'!E11</f>
        <v>-0.97931572914906795</v>
      </c>
      <c r="F20" s="37">
        <f>'PPP- EPIC'!E11</f>
        <v>2.7589969951465641E-2</v>
      </c>
      <c r="G20" s="37">
        <f>'PPP - SGIP'!E11</f>
        <v>-1</v>
      </c>
      <c r="H20" s="37">
        <f>'PPP - CSI'!E11</f>
        <v>0</v>
      </c>
      <c r="I20" s="37">
        <f>'PPP - FERA'!E11</f>
        <v>0</v>
      </c>
      <c r="J20" s="37">
        <f>'PPP - Food Bank'!E11</f>
        <v>0</v>
      </c>
      <c r="K20" s="37">
        <f>'PPP - TMNB'!E11</f>
        <v>0</v>
      </c>
      <c r="M20" s="77"/>
      <c r="N20" s="77"/>
      <c r="O20" s="77"/>
      <c r="P20" s="98"/>
    </row>
    <row r="21" spans="2:16" ht="15" x14ac:dyDescent="0.25">
      <c r="B21" s="15" t="s">
        <v>51</v>
      </c>
      <c r="C21" s="112">
        <v>124112231</v>
      </c>
      <c r="D21" s="112">
        <v>13145043</v>
      </c>
      <c r="E21" s="112">
        <v>71387666</v>
      </c>
      <c r="F21" s="112">
        <v>16280000</v>
      </c>
      <c r="G21" s="112">
        <v>0</v>
      </c>
      <c r="H21" s="112">
        <v>0</v>
      </c>
      <c r="I21" s="112">
        <v>2824892</v>
      </c>
      <c r="J21" s="112">
        <v>46645</v>
      </c>
      <c r="K21" s="112">
        <v>21354984</v>
      </c>
      <c r="M21" s="99"/>
      <c r="N21" s="99"/>
      <c r="O21" s="99"/>
      <c r="P21" s="98"/>
    </row>
    <row r="22" spans="2:16" ht="15" x14ac:dyDescent="0.25">
      <c r="B22" s="15" t="s">
        <v>50</v>
      </c>
      <c r="C22" s="36">
        <f>C21/(SUM($C$21:$K$21))</f>
        <v>0.49813968781021917</v>
      </c>
      <c r="D22" s="36">
        <f t="shared" ref="D22:J22" si="0">D21/(SUM($C$21:$K$21))</f>
        <v>5.2759245108339944E-2</v>
      </c>
      <c r="E22" s="36">
        <f t="shared" si="0"/>
        <v>0.28652316833092945</v>
      </c>
      <c r="F22" s="36">
        <f t="shared" si="0"/>
        <v>6.5341780195300556E-2</v>
      </c>
      <c r="G22" s="36">
        <f t="shared" si="0"/>
        <v>0</v>
      </c>
      <c r="H22" s="36">
        <f t="shared" si="0"/>
        <v>0</v>
      </c>
      <c r="I22" s="36">
        <f t="shared" si="0"/>
        <v>1.1338051114217628E-2</v>
      </c>
      <c r="J22" s="36">
        <f t="shared" si="0"/>
        <v>1.8721543840355005E-4</v>
      </c>
      <c r="K22" s="37">
        <f>K21/(SUM($C$21:$K$21))</f>
        <v>8.5710852002589696E-2</v>
      </c>
      <c r="M22" s="61"/>
      <c r="N22" s="61"/>
      <c r="O22" s="61"/>
      <c r="P22" s="83"/>
    </row>
    <row r="23" spans="2:16" ht="15" x14ac:dyDescent="0.25">
      <c r="M23" s="62"/>
      <c r="N23" s="62"/>
      <c r="O23" s="62"/>
      <c r="P23" s="97"/>
    </row>
    <row r="24" spans="2:16" ht="15" x14ac:dyDescent="0.25">
      <c r="M24" s="62"/>
      <c r="N24" s="62"/>
      <c r="O24" s="62"/>
      <c r="P24" s="97"/>
    </row>
    <row r="25" spans="2:16" ht="15" x14ac:dyDescent="0.25">
      <c r="M25" s="62"/>
      <c r="N25" s="62"/>
      <c r="O25" s="62"/>
      <c r="P25" s="97"/>
    </row>
    <row r="26" spans="2:16" ht="15" x14ac:dyDescent="0.25">
      <c r="M26" s="62"/>
      <c r="N26" s="62"/>
      <c r="O26" s="62"/>
      <c r="P26" s="97"/>
    </row>
    <row r="27" spans="2:16" ht="15" x14ac:dyDescent="0.25">
      <c r="M27" s="62"/>
      <c r="N27" s="62"/>
      <c r="O27" s="62"/>
      <c r="P27" s="97"/>
    </row>
    <row r="28" spans="2:16" x14ac:dyDescent="0.2">
      <c r="M28" s="77"/>
      <c r="N28" s="77"/>
      <c r="O28" s="77"/>
      <c r="P28" s="98"/>
    </row>
    <row r="29" spans="2:16" x14ac:dyDescent="0.2">
      <c r="M29" s="99"/>
      <c r="N29" s="100"/>
      <c r="O29" s="100"/>
      <c r="P29" s="98"/>
    </row>
    <row r="30" spans="2:16" ht="15" x14ac:dyDescent="0.25">
      <c r="M30" s="61"/>
      <c r="N30" s="61"/>
      <c r="O30" s="61"/>
      <c r="P30" s="83"/>
    </row>
    <row r="31" spans="2:16" ht="15" x14ac:dyDescent="0.25">
      <c r="M31" s="62"/>
      <c r="N31" s="62"/>
      <c r="O31" s="62"/>
      <c r="P31" s="97"/>
    </row>
    <row r="32" spans="2:16" ht="15" x14ac:dyDescent="0.25">
      <c r="M32" s="62"/>
      <c r="N32" s="62"/>
      <c r="O32" s="62"/>
      <c r="P32" s="97"/>
    </row>
    <row r="33" spans="13:17" ht="15" x14ac:dyDescent="0.25">
      <c r="M33" s="62"/>
      <c r="N33" s="62"/>
      <c r="O33" s="62"/>
      <c r="P33" s="97"/>
    </row>
    <row r="34" spans="13:17" ht="15" x14ac:dyDescent="0.25">
      <c r="M34" s="62"/>
      <c r="N34" s="62"/>
      <c r="O34" s="62"/>
      <c r="P34" s="97"/>
    </row>
    <row r="35" spans="13:17" ht="15" x14ac:dyDescent="0.25">
      <c r="M35" s="62"/>
      <c r="N35" s="62"/>
      <c r="O35" s="62"/>
      <c r="P35" s="97"/>
    </row>
    <row r="36" spans="13:17" x14ac:dyDescent="0.2">
      <c r="M36" s="77"/>
      <c r="N36" s="77"/>
      <c r="O36" s="77"/>
      <c r="P36" s="98"/>
    </row>
    <row r="37" spans="13:17" x14ac:dyDescent="0.2">
      <c r="M37" s="99"/>
      <c r="N37" s="100"/>
      <c r="O37" s="100"/>
      <c r="P37" s="98"/>
      <c r="Q37" s="77"/>
    </row>
    <row r="38" spans="13:17" ht="15" x14ac:dyDescent="0.25">
      <c r="M38" s="61"/>
      <c r="N38" s="61"/>
      <c r="O38" s="61"/>
      <c r="P38" s="83"/>
    </row>
    <row r="39" spans="13:17" ht="15" x14ac:dyDescent="0.25">
      <c r="M39" s="62"/>
      <c r="N39" s="62"/>
      <c r="O39" s="62"/>
      <c r="P39" s="97"/>
    </row>
    <row r="40" spans="13:17" ht="15" x14ac:dyDescent="0.25">
      <c r="M40" s="62"/>
      <c r="N40" s="62"/>
      <c r="O40" s="62"/>
      <c r="P40" s="97"/>
    </row>
    <row r="41" spans="13:17" ht="15" x14ac:dyDescent="0.25">
      <c r="M41" s="62"/>
      <c r="N41" s="62"/>
      <c r="O41" s="62"/>
      <c r="P41" s="97"/>
    </row>
    <row r="42" spans="13:17" ht="15" x14ac:dyDescent="0.25">
      <c r="M42" s="62"/>
      <c r="N42" s="62"/>
      <c r="O42" s="62"/>
      <c r="P42" s="97"/>
    </row>
    <row r="43" spans="13:17" ht="15" x14ac:dyDescent="0.25">
      <c r="M43" s="62"/>
      <c r="N43" s="62"/>
      <c r="O43" s="62"/>
      <c r="P43" s="97"/>
    </row>
  </sheetData>
  <mergeCells count="3">
    <mergeCell ref="A1:G1"/>
    <mergeCell ref="A3:G3"/>
    <mergeCell ref="A2:F2"/>
  </mergeCells>
  <pageMargins left="0.7" right="0.7" top="0.75" bottom="0.75" header="0.3" footer="0.3"/>
  <pageSetup orientation="portrait" r:id="rId1"/>
  <headerFooter>
    <oddFooter>&amp;L&amp;F
&amp;A&amp;R&amp;P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8"/>
  <sheetViews>
    <sheetView zoomScale="85" zoomScaleNormal="85" workbookViewId="0">
      <selection activeCell="E11" sqref="E11"/>
    </sheetView>
  </sheetViews>
  <sheetFormatPr defaultColWidth="9.33203125" defaultRowHeight="15" x14ac:dyDescent="0.25"/>
  <cols>
    <col min="1" max="1" width="9.33203125" style="3"/>
    <col min="2" max="2" width="15.6640625" style="3" customWidth="1"/>
    <col min="3" max="3" width="25" style="3" bestFit="1" customWidth="1"/>
    <col min="4" max="4" width="14" style="3" bestFit="1" customWidth="1"/>
    <col min="5" max="5" width="25.33203125" style="3" bestFit="1" customWidth="1"/>
    <col min="6" max="16384" width="9.33203125" style="3"/>
  </cols>
  <sheetData>
    <row r="1" spans="1:6" x14ac:dyDescent="0.25">
      <c r="A1" s="108" t="str">
        <f>'Distribution 1 Year'!A1:F1</f>
        <v>SAN DIEGO GAS &amp; ELECTRIC COMPANY</v>
      </c>
      <c r="B1" s="108"/>
      <c r="C1" s="108"/>
      <c r="D1" s="108"/>
      <c r="E1" s="108"/>
      <c r="F1" s="108"/>
    </row>
    <row r="2" spans="1:6" x14ac:dyDescent="0.25">
      <c r="A2" s="108" t="str">
        <f>'Distribution 1 Year'!A2:F2</f>
        <v>TEST YEAR 2019 GENERAL RATE CASE PHASE 2, APPLICATION 19-03-002</v>
      </c>
      <c r="B2" s="108"/>
      <c r="C2" s="108"/>
      <c r="D2" s="108"/>
      <c r="E2" s="108"/>
      <c r="F2" s="108"/>
    </row>
    <row r="3" spans="1:6" x14ac:dyDescent="0.25">
      <c r="A3" s="108" t="str">
        <f>'Distribution 1 Year'!A3:F3</f>
        <v>REVENUE ALLOCATION WORKPAPERS - CHAPTER 2</v>
      </c>
      <c r="B3" s="108"/>
      <c r="C3" s="108"/>
      <c r="D3" s="108"/>
      <c r="E3" s="108"/>
      <c r="F3" s="108"/>
    </row>
    <row r="6" spans="1:6" x14ac:dyDescent="0.25">
      <c r="B6" s="33"/>
      <c r="C6" s="4" t="s">
        <v>7</v>
      </c>
      <c r="D6" s="4" t="s">
        <v>8</v>
      </c>
      <c r="E6" s="4" t="s">
        <v>9</v>
      </c>
    </row>
    <row r="7" spans="1:6" x14ac:dyDescent="0.25">
      <c r="B7" s="4" t="s">
        <v>2</v>
      </c>
      <c r="C7" s="36">
        <v>0.46049962911213632</v>
      </c>
      <c r="D7" s="37">
        <v>0.25849481349986364</v>
      </c>
      <c r="E7" s="34">
        <f>(D7-C7)/C7</f>
        <v>-0.43866444800780169</v>
      </c>
    </row>
    <row r="8" spans="1:6" x14ac:dyDescent="0.25">
      <c r="B8" s="4" t="s">
        <v>10</v>
      </c>
      <c r="C8" s="36">
        <v>0.11302169887200222</v>
      </c>
      <c r="D8" s="37">
        <v>0.15496379477528138</v>
      </c>
      <c r="E8" s="34">
        <f>(D8-C8)/C8</f>
        <v>0.37109773009852598</v>
      </c>
    </row>
    <row r="9" spans="1:6" x14ac:dyDescent="0.25">
      <c r="B9" s="4" t="s">
        <v>11</v>
      </c>
      <c r="C9" s="36">
        <v>0.41445398809380962</v>
      </c>
      <c r="D9" s="37">
        <v>0.5682569223057039</v>
      </c>
      <c r="E9" s="34">
        <f>(D9-C9)/C9</f>
        <v>0.37109773009852604</v>
      </c>
    </row>
    <row r="10" spans="1:6" x14ac:dyDescent="0.25">
      <c r="B10" s="4" t="s">
        <v>3</v>
      </c>
      <c r="C10" s="36">
        <v>1.118062872431484E-2</v>
      </c>
      <c r="D10" s="37">
        <v>1.8267010752827908E-2</v>
      </c>
      <c r="E10" s="34">
        <f>(D10-C10)/C10</f>
        <v>0.63380890317036509</v>
      </c>
    </row>
    <row r="11" spans="1:6" x14ac:dyDescent="0.25">
      <c r="B11" s="4" t="s">
        <v>12</v>
      </c>
      <c r="C11" s="36">
        <v>8.4405519773694078E-4</v>
      </c>
      <c r="D11" s="37">
        <v>1.745866632312787E-5</v>
      </c>
      <c r="E11" s="34">
        <f>(D11-C11)/C11</f>
        <v>-0.97931572914906795</v>
      </c>
    </row>
    <row r="12" spans="1:6" x14ac:dyDescent="0.25">
      <c r="B12" s="4"/>
      <c r="C12" s="16"/>
      <c r="D12" s="16"/>
      <c r="E12" s="7"/>
    </row>
    <row r="13" spans="1:6" x14ac:dyDescent="0.25">
      <c r="B13" s="12" t="s">
        <v>19</v>
      </c>
    </row>
    <row r="14" spans="1:6" x14ac:dyDescent="0.25">
      <c r="B14" s="12"/>
    </row>
    <row r="15" spans="1:6" x14ac:dyDescent="0.25">
      <c r="B15" s="4"/>
      <c r="C15" s="17"/>
    </row>
    <row r="16" spans="1:6" x14ac:dyDescent="0.25">
      <c r="B16" s="4"/>
      <c r="C16" s="17"/>
    </row>
    <row r="17" spans="2:3" x14ac:dyDescent="0.25">
      <c r="B17" s="18"/>
    </row>
    <row r="18" spans="2:3" x14ac:dyDescent="0.25">
      <c r="C18" s="82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headerFooter>
    <oddFooter>&amp;L&amp;F
&amp;A&amp;R&amp;P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Description</vt:lpstr>
      <vt:lpstr>Distribution 1 Year</vt:lpstr>
      <vt:lpstr>Distribution 3 Year</vt:lpstr>
      <vt:lpstr>Misc. Programs</vt:lpstr>
      <vt:lpstr>Commodity</vt:lpstr>
      <vt:lpstr>LGC</vt:lpstr>
      <vt:lpstr>CTC</vt:lpstr>
      <vt:lpstr>Total PPP</vt:lpstr>
      <vt:lpstr>PPP-EE and EPEEBA</vt:lpstr>
      <vt:lpstr>PPP - CARE</vt:lpstr>
      <vt:lpstr>PPP - FERA</vt:lpstr>
      <vt:lpstr>PPP - ESAP</vt:lpstr>
      <vt:lpstr>PPP- EPIC</vt:lpstr>
      <vt:lpstr>PPP - SGIP</vt:lpstr>
      <vt:lpstr>PPP - CSI</vt:lpstr>
      <vt:lpstr>PPP - Food Bank</vt:lpstr>
      <vt:lpstr>PPP - TMNB</vt:lpstr>
      <vt:lpstr>Sales %</vt:lpstr>
      <vt:lpstr>PPP Rates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JDowney</dc:creator>
  <cp:lastModifiedBy>Anderson, Gregory S</cp:lastModifiedBy>
  <dcterms:created xsi:type="dcterms:W3CDTF">2015-01-02T21:41:09Z</dcterms:created>
  <dcterms:modified xsi:type="dcterms:W3CDTF">2020-07-08T18:01:23Z</dcterms:modified>
</cp:coreProperties>
</file>