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1.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ACTIVITIES (Current)\COPIES OF WORK IN PROGRESS (AL, DATA REQUEST...)\"/>
    </mc:Choice>
  </mc:AlternateContent>
  <xr:revisionPtr revIDLastSave="0" documentId="8_{CDD9CBF3-981E-47D4-BC4D-895DA3E61376}" xr6:coauthVersionLast="44" xr6:coauthVersionMax="44"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Fund Shift Log" sheetId="29" r:id="rId8"/>
    <sheet name="DRP Expenditures" sheetId="117"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6">#REF!</definedName>
    <definedName name="_DAT1" localSheetId="10">#REF!</definedName>
    <definedName name="_DAT1" localSheetId="12">#REF!</definedName>
    <definedName name="_DAT1">#REF!</definedName>
    <definedName name="_DAT10" localSheetId="8">#REF!</definedName>
    <definedName name="_DAT10" localSheetId="6">#REF!</definedName>
    <definedName name="_DAT10" localSheetId="12">#REF!</definedName>
    <definedName name="_DAT10">#REF!</definedName>
    <definedName name="_DAT11" localSheetId="8">#REF!</definedName>
    <definedName name="_DAT11" localSheetId="6">#REF!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9" hidden="1">'Event Summary'!#REF!</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6">#REF!</definedName>
    <definedName name="DATA6" localSheetId="12">#REF!</definedName>
    <definedName name="DATA6">#REF!</definedName>
    <definedName name="DATA7" localSheetId="8">#REF!</definedName>
    <definedName name="DATA7" localSheetId="6">#REF!</definedName>
    <definedName name="DATA7" localSheetId="12">#REF!</definedName>
    <definedName name="DATA7">#REF!</definedName>
    <definedName name="DATA8" localSheetId="8">#REF!</definedName>
    <definedName name="DATA8" localSheetId="6">#REF!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Deployment'!$A$1:$P$45</definedName>
    <definedName name="_xlnm.Print_Area" localSheetId="8">'DRP Expenditures'!$A$54:$M$54</definedName>
    <definedName name="_xlnm.Print_Area" localSheetId="2">'Ex ante LI &amp; Eligibility Stats'!$A$1:$O$19</definedName>
    <definedName name="_xlnm.Print_Area" localSheetId="3">'Ex post LI &amp; Eligibility Stats'!$A$1:$O$27</definedName>
    <definedName name="_xlnm.Print_Area" localSheetId="7">'Fund Shift Log'!$A$1:$E$19</definedName>
    <definedName name="_xlnm.Print_Area" localSheetId="6">Marketing!$A$1:$Q$40</definedName>
    <definedName name="_xlnm.Print_Area" localSheetId="1">'Program MW '!$A$1:$S$58</definedName>
    <definedName name="_xlnm.Print_Area" localSheetId="12">'SDGE Costs -DPDRMA'!$A$2:$N$44</definedName>
    <definedName name="_xlnm.Print_Area" localSheetId="11">'SDGE Costs -GRC '!$A$1:$N$35</definedName>
    <definedName name="Reliability_Expectations" localSheetId="8">#REF!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8">#REF!</definedName>
    <definedName name="TEST0" localSheetId="6">#REF!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Stats'!$A$2:$O$24</definedName>
    <definedName name="Z_E5DF83AA_DC53_4EBF_A523_33DA0FE284E8_.wvu.PrintArea" localSheetId="1" hidden="1">'Program MW '!$A$1:$Z$52</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6" i="131" l="1"/>
  <c r="B34" i="131"/>
  <c r="B24" i="131"/>
  <c r="B23" i="131"/>
  <c r="D19" i="33" l="1"/>
  <c r="B33" i="131" s="1"/>
  <c r="C16" i="33"/>
  <c r="D18" i="33"/>
  <c r="O19" i="35" l="1"/>
  <c r="M47" i="119" l="1"/>
  <c r="L47" i="119"/>
  <c r="K47" i="119"/>
  <c r="J47" i="119"/>
  <c r="I47" i="119"/>
  <c r="H47" i="119"/>
  <c r="G47" i="119"/>
  <c r="F47" i="119"/>
  <c r="E47" i="119"/>
  <c r="D47" i="119"/>
  <c r="C47" i="119"/>
  <c r="B47" i="119"/>
  <c r="B23" i="134"/>
  <c r="N37" i="134" l="1"/>
  <c r="N36" i="134"/>
  <c r="N35" i="134"/>
  <c r="N34" i="134"/>
  <c r="O37" i="134"/>
  <c r="O36" i="134"/>
  <c r="O35"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N16" i="134"/>
  <c r="O16" i="134" s="1"/>
  <c r="N15" i="134"/>
  <c r="O15" i="134" s="1"/>
  <c r="N14" i="134"/>
  <c r="O14" i="134" s="1"/>
  <c r="N13" i="134"/>
  <c r="O13" i="134" s="1"/>
  <c r="N12" i="134"/>
  <c r="O12" i="134" s="1"/>
  <c r="N11" i="134"/>
  <c r="O11" i="134" s="1"/>
  <c r="O23" i="134" l="1"/>
  <c r="N38" i="134"/>
  <c r="N31" i="134"/>
  <c r="N23" i="134"/>
  <c r="O34" i="134"/>
  <c r="L35" i="131" l="1"/>
  <c r="I35" i="131"/>
  <c r="F35" i="131"/>
  <c r="C35" i="131"/>
  <c r="C4" i="57" l="1"/>
  <c r="L39" i="131"/>
  <c r="I39" i="131"/>
  <c r="F39" i="131"/>
  <c r="C39" i="131"/>
  <c r="L38" i="131"/>
  <c r="I38" i="131"/>
  <c r="F38" i="131"/>
  <c r="C38" i="131"/>
  <c r="L37" i="131"/>
  <c r="I37" i="131"/>
  <c r="F37" i="131"/>
  <c r="C37" i="131"/>
  <c r="L36" i="131"/>
  <c r="I36" i="131"/>
  <c r="F36" i="131"/>
  <c r="C36" i="131"/>
  <c r="L34" i="131"/>
  <c r="I34" i="131"/>
  <c r="F34" i="131"/>
  <c r="C34" i="131"/>
  <c r="L33" i="131"/>
  <c r="I33" i="131"/>
  <c r="F33" i="131"/>
  <c r="C33" i="13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147" i="136" l="1"/>
  <c r="H134" i="136"/>
  <c r="H121" i="136"/>
  <c r="H108" i="136"/>
  <c r="H95" i="136"/>
  <c r="H82" i="136"/>
  <c r="H4" i="136"/>
  <c r="H5" i="136"/>
  <c r="H6" i="136"/>
  <c r="G3" i="136" l="1"/>
  <c r="G147" i="136" l="1"/>
  <c r="G146" i="136"/>
  <c r="G134" i="136"/>
  <c r="G133" i="136"/>
  <c r="G121" i="136"/>
  <c r="G120" i="136"/>
  <c r="G108" i="136"/>
  <c r="G107" i="136"/>
  <c r="G95" i="136"/>
  <c r="G94" i="136"/>
  <c r="G82"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H33" i="131"/>
  <c r="E25" i="33"/>
  <c r="N15" i="129"/>
  <c r="C31" i="134"/>
  <c r="C18" i="33"/>
  <c r="H9" i="136" s="1"/>
  <c r="C19" i="33"/>
  <c r="H10" i="136" s="1"/>
  <c r="H7" i="136"/>
  <c r="E34" i="33"/>
  <c r="C17"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F17" i="33"/>
  <c r="G17" i="33"/>
  <c r="E33" i="131" s="1"/>
  <c r="H34" i="131"/>
  <c r="H37" i="131"/>
  <c r="H38" i="131"/>
  <c r="K33" i="131"/>
  <c r="M35" i="131"/>
  <c r="F18" i="33"/>
  <c r="G18" i="33"/>
  <c r="E34" i="131" s="1"/>
  <c r="J35" i="131"/>
  <c r="K34" i="131"/>
  <c r="F19" i="33"/>
  <c r="D35" i="131" s="1"/>
  <c r="G19" i="33"/>
  <c r="G35" i="131"/>
  <c r="F20" i="33"/>
  <c r="F21" i="33"/>
  <c r="G20" i="33"/>
  <c r="E37" i="131" s="1"/>
  <c r="K37" i="131"/>
  <c r="G21" i="33"/>
  <c r="E38" i="131" s="1"/>
  <c r="K38" i="131"/>
  <c r="D16" i="33"/>
  <c r="B22" i="131" s="1"/>
  <c r="F16" i="33"/>
  <c r="H20" i="136" s="1"/>
  <c r="G16" i="33"/>
  <c r="C25" i="131" s="1"/>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N14" i="129"/>
  <c r="K16" i="117"/>
  <c r="H107" i="136"/>
  <c r="N9" i="119"/>
  <c r="N10" i="119"/>
  <c r="N11" i="119"/>
  <c r="N12" i="119"/>
  <c r="N13" i="119"/>
  <c r="N14" i="119"/>
  <c r="N15" i="119"/>
  <c r="N16"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N13" i="129"/>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N46" i="119"/>
  <c r="N45" i="119"/>
  <c r="N44" i="119"/>
  <c r="N43" i="119"/>
  <c r="N42"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G23" i="134"/>
  <c r="F23" i="134"/>
  <c r="E23" i="134"/>
  <c r="D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N15" i="117"/>
  <c r="R15" i="117" s="1"/>
  <c r="N14" i="117"/>
  <c r="O14" i="117" s="1"/>
  <c r="N13" i="117"/>
  <c r="N12" i="117"/>
  <c r="O12" i="117" s="1"/>
  <c r="O10" i="35"/>
  <c r="O12" i="35"/>
  <c r="O13" i="35"/>
  <c r="O14" i="35"/>
  <c r="O15" i="35"/>
  <c r="O16" i="35"/>
  <c r="O17" i="35"/>
  <c r="O18" i="35"/>
  <c r="O9" i="35"/>
  <c r="H73" i="136"/>
  <c r="H68" i="136"/>
  <c r="H72" i="136"/>
  <c r="H74" i="136"/>
  <c r="H75" i="136"/>
  <c r="H76" i="136"/>
  <c r="H77" i="136"/>
  <c r="H78" i="136"/>
  <c r="H79" i="136"/>
  <c r="D17" i="33"/>
  <c r="A39" i="33"/>
  <c r="D32" i="131"/>
  <c r="F32" i="131" s="1"/>
  <c r="H32" i="131" s="1"/>
  <c r="J32" i="131" s="1"/>
  <c r="C32" i="131"/>
  <c r="E32" i="131" s="1"/>
  <c r="G32" i="131" s="1"/>
  <c r="M32" i="131"/>
  <c r="C20" i="33"/>
  <c r="H11" i="136" s="1"/>
  <c r="D20" i="33"/>
  <c r="B37" i="131" s="1"/>
  <c r="D21" i="131"/>
  <c r="F21" i="131" s="1"/>
  <c r="H21" i="131" s="1"/>
  <c r="J21" i="131" s="1"/>
  <c r="L21" i="131" s="1"/>
  <c r="C21" i="131"/>
  <c r="E21" i="131" s="1"/>
  <c r="G21" i="131" s="1"/>
  <c r="I21" i="131" s="1"/>
  <c r="K21" i="131" s="1"/>
  <c r="M21" i="131" s="1"/>
  <c r="A38" i="33"/>
  <c r="C4" i="134"/>
  <c r="L24" i="117"/>
  <c r="E28" i="129"/>
  <c r="E17" i="129"/>
  <c r="N16"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1" i="33"/>
  <c r="B38" i="131" s="1"/>
  <c r="D23" i="33"/>
  <c r="B39" i="131" s="1"/>
  <c r="D24"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N41" i="119"/>
  <c r="N40" i="119"/>
  <c r="N39" i="119"/>
  <c r="N37" i="119"/>
  <c r="N38"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9" i="33"/>
  <c r="Q34" i="33"/>
  <c r="N49" i="33"/>
  <c r="K49" i="33"/>
  <c r="K34" i="33"/>
  <c r="H49" i="33"/>
  <c r="E49" i="33"/>
  <c r="B49" i="33"/>
  <c r="B34" i="33"/>
  <c r="S34" i="33"/>
  <c r="H146" i="136"/>
  <c r="I25" i="131"/>
  <c r="H25" i="131"/>
  <c r="H133" i="136"/>
  <c r="H94" i="136"/>
  <c r="N34" i="33"/>
  <c r="H34" i="33"/>
  <c r="P34" i="33"/>
  <c r="M34" i="33"/>
  <c r="J34" i="33"/>
  <c r="G34" i="33"/>
  <c r="D34" i="33"/>
  <c r="C29" i="33"/>
  <c r="Q25" i="33"/>
  <c r="Q10" i="33"/>
  <c r="N25" i="33"/>
  <c r="K25" i="33"/>
  <c r="H25" i="33"/>
  <c r="H66" i="136"/>
  <c r="H53" i="136"/>
  <c r="H40" i="136"/>
  <c r="G24" i="33"/>
  <c r="F24" i="33"/>
  <c r="H27" i="136" s="1"/>
  <c r="C24" i="33"/>
  <c r="H14" i="136" s="1"/>
  <c r="K39" i="131"/>
  <c r="H39" i="131"/>
  <c r="G23" i="33"/>
  <c r="E39" i="131" s="1"/>
  <c r="F23" i="33"/>
  <c r="B25" i="33"/>
  <c r="B10" i="33"/>
  <c r="C21" i="33"/>
  <c r="H12" i="136" s="1"/>
  <c r="G25" i="131"/>
  <c r="H59" i="136"/>
  <c r="H55" i="136"/>
  <c r="H42" i="136"/>
  <c r="H29" i="136"/>
  <c r="G12" i="33"/>
  <c r="F12" i="33"/>
  <c r="H16" i="136" s="1"/>
  <c r="C12" i="33"/>
  <c r="H3" i="136" s="1"/>
  <c r="N10" i="33"/>
  <c r="N26" i="33" s="1"/>
  <c r="K10" i="33"/>
  <c r="H10" i="33"/>
  <c r="E10" i="33"/>
  <c r="S10" i="33"/>
  <c r="M10" i="33"/>
  <c r="J10" i="33"/>
  <c r="G9" i="33"/>
  <c r="G10" i="33" s="1"/>
  <c r="F9" i="33"/>
  <c r="C9" i="33"/>
  <c r="C23" i="33"/>
  <c r="H13" i="136" s="1"/>
  <c r="F4" i="33"/>
  <c r="D4" i="33"/>
  <c r="D29" i="33" s="1"/>
  <c r="P42" i="36"/>
  <c r="I40" i="131"/>
  <c r="L25" i="131"/>
  <c r="L40" i="131"/>
  <c r="N50" i="33" l="1"/>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36" i="131"/>
  <c r="H35" i="131"/>
  <c r="K36" i="131"/>
  <c r="K35" i="131"/>
  <c r="E36" i="131"/>
  <c r="E35" i="131"/>
  <c r="H23" i="136"/>
  <c r="D36" i="131"/>
  <c r="H61" i="136"/>
  <c r="M34" i="131"/>
  <c r="H34" i="136"/>
  <c r="G33" i="131"/>
  <c r="H39" i="136"/>
  <c r="G39" i="131"/>
  <c r="H65" i="136"/>
  <c r="M39" i="131"/>
  <c r="H25" i="136"/>
  <c r="D38" i="131"/>
  <c r="H37" i="136"/>
  <c r="G37" i="131"/>
  <c r="H48" i="136"/>
  <c r="J34" i="131"/>
  <c r="H64" i="136"/>
  <c r="M38" i="131"/>
  <c r="H60" i="136"/>
  <c r="M33" i="131"/>
  <c r="H52" i="136"/>
  <c r="J39" i="131"/>
  <c r="H49" i="136"/>
  <c r="J36" i="131"/>
  <c r="H24" i="136"/>
  <c r="D37" i="131"/>
  <c r="H36" i="136"/>
  <c r="G36" i="131"/>
  <c r="H51" i="136"/>
  <c r="J38" i="131"/>
  <c r="H35" i="136"/>
  <c r="G34" i="131"/>
  <c r="H63" i="136"/>
  <c r="M37" i="131"/>
  <c r="H21" i="136"/>
  <c r="D33" i="131"/>
  <c r="H38" i="136"/>
  <c r="G38" i="131"/>
  <c r="H22" i="136"/>
  <c r="D34" i="131"/>
  <c r="H26" i="136"/>
  <c r="D39" i="131"/>
  <c r="H50" i="136"/>
  <c r="J37" i="131"/>
  <c r="H62" i="136"/>
  <c r="M36" i="131"/>
  <c r="H47" i="136"/>
  <c r="J33" i="131"/>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50" i="33"/>
  <c r="O34" i="33"/>
  <c r="H132" i="136"/>
  <c r="C10" i="33"/>
  <c r="H2" i="136"/>
  <c r="R10" i="33"/>
  <c r="H67" i="136"/>
  <c r="C34" i="33"/>
  <c r="H80" i="136"/>
  <c r="F10" i="33"/>
  <c r="H15" i="136"/>
  <c r="L10" i="33"/>
  <c r="H41" i="136"/>
  <c r="I10" i="33"/>
  <c r="H28" i="136"/>
  <c r="O10" i="33"/>
  <c r="H54" i="136"/>
  <c r="L34" i="33"/>
  <c r="H119" i="136"/>
  <c r="I34" i="33"/>
  <c r="H106" i="136"/>
  <c r="F34" i="33"/>
  <c r="H93" i="136"/>
  <c r="R34" i="33"/>
  <c r="H145" i="136"/>
  <c r="D36" i="129"/>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6" i="33"/>
  <c r="Q33" i="36"/>
  <c r="Q42" i="36" s="1"/>
  <c r="F25" i="131"/>
  <c r="H15" i="36"/>
  <c r="X15" i="36"/>
  <c r="G15" i="36"/>
  <c r="C48" i="119"/>
  <c r="E25" i="131"/>
  <c r="Y13" i="36"/>
  <c r="E33" i="36"/>
  <c r="F48" i="119"/>
  <c r="D25" i="131"/>
  <c r="K25" i="131"/>
  <c r="D15" i="36"/>
  <c r="O15" i="36"/>
  <c r="L31" i="120"/>
  <c r="E36" i="129"/>
  <c r="E42" i="36"/>
  <c r="E7" i="36"/>
  <c r="E15" i="36" s="1"/>
  <c r="Q7" i="36"/>
  <c r="Q15" i="36" s="1"/>
  <c r="Y7" i="36"/>
  <c r="Y15" i="36" s="1"/>
  <c r="H42" i="36"/>
  <c r="B31" i="120"/>
  <c r="H36" i="129"/>
  <c r="L50" i="117"/>
  <c r="R14" i="117"/>
  <c r="N33" i="129"/>
  <c r="L48" i="119"/>
  <c r="I33" i="36"/>
  <c r="K31" i="120"/>
  <c r="F31" i="120"/>
  <c r="E31" i="120"/>
  <c r="B36" i="129"/>
  <c r="B37" i="129" s="1"/>
  <c r="L25" i="33"/>
  <c r="F49" i="33"/>
  <c r="M36" i="129"/>
  <c r="L36" i="129"/>
  <c r="N14" i="120"/>
  <c r="O38" i="134"/>
  <c r="I50" i="117"/>
  <c r="C25" i="33"/>
  <c r="G49" i="33"/>
  <c r="G50" i="33" s="1"/>
  <c r="P49" i="33"/>
  <c r="P50" i="33" s="1"/>
  <c r="O49" i="33"/>
  <c r="L49" i="33"/>
  <c r="M48" i="119"/>
  <c r="E48" i="119"/>
  <c r="G48" i="119"/>
  <c r="J48" i="119"/>
  <c r="D48" i="119"/>
  <c r="K48" i="119"/>
  <c r="P50" i="117"/>
  <c r="Q26" i="33"/>
  <c r="J49" i="33"/>
  <c r="J50" i="33" s="1"/>
  <c r="R49" i="33"/>
  <c r="C31" i="120"/>
  <c r="I36" i="129"/>
  <c r="D50" i="117"/>
  <c r="G50" i="117"/>
  <c r="Q50" i="117"/>
  <c r="I49" i="33"/>
  <c r="M49" i="33"/>
  <c r="M50" i="33" s="1"/>
  <c r="N24" i="117"/>
  <c r="G25" i="33"/>
  <c r="G26" i="33" s="1"/>
  <c r="M25" i="33"/>
  <c r="M26" i="33" s="1"/>
  <c r="B26" i="33"/>
  <c r="Q50" i="33"/>
  <c r="I7" i="36"/>
  <c r="I15" i="36" s="1"/>
  <c r="T15" i="36"/>
  <c r="Y33" i="36"/>
  <c r="Y42" i="36" s="1"/>
  <c r="M40" i="36"/>
  <c r="H48" i="119"/>
  <c r="M31" i="120"/>
  <c r="I31" i="120"/>
  <c r="N22" i="120"/>
  <c r="C36" i="129"/>
  <c r="J36" i="129"/>
  <c r="G36" i="129"/>
  <c r="K36" i="129"/>
  <c r="H26" i="33"/>
  <c r="E50" i="117"/>
  <c r="N16" i="117"/>
  <c r="N28" i="120"/>
  <c r="O25" i="33"/>
  <c r="K50" i="33"/>
  <c r="W15" i="36"/>
  <c r="G42" i="36"/>
  <c r="U33" i="36"/>
  <c r="U42" i="36" s="1"/>
  <c r="J31" i="120"/>
  <c r="F50" i="117"/>
  <c r="M50" i="117"/>
  <c r="O20" i="117"/>
  <c r="S49" i="33"/>
  <c r="S50" i="33" s="1"/>
  <c r="K15" i="36"/>
  <c r="S42" i="36"/>
  <c r="W42" i="36"/>
  <c r="I40" i="36"/>
  <c r="I42" i="36" s="1"/>
  <c r="N18" i="120"/>
  <c r="D31" i="120"/>
  <c r="N41" i="117"/>
  <c r="K50" i="117"/>
  <c r="I4" i="33"/>
  <c r="F29" i="33"/>
  <c r="G4" i="33"/>
  <c r="G29" i="33" s="1"/>
  <c r="N28" i="129"/>
  <c r="N17" i="129"/>
  <c r="M33" i="36"/>
  <c r="K42" i="36"/>
  <c r="K26" i="33"/>
  <c r="U7" i="36"/>
  <c r="U15" i="36" s="1"/>
  <c r="D25" i="33"/>
  <c r="D26" i="33" s="1"/>
  <c r="F40" i="131"/>
  <c r="C50" i="117"/>
  <c r="F36" i="129"/>
  <c r="R46" i="117"/>
  <c r="J25" i="33"/>
  <c r="J26" i="33" s="1"/>
  <c r="P25" i="33"/>
  <c r="P26" i="33" s="1"/>
  <c r="E50" i="33"/>
  <c r="B50" i="33"/>
  <c r="H31" i="120"/>
  <c r="O31" i="134"/>
  <c r="F25" i="33"/>
  <c r="I25" i="33"/>
  <c r="D49" i="33"/>
  <c r="D50" i="33" s="1"/>
  <c r="C49" i="33"/>
  <c r="N48" i="117"/>
  <c r="R40" i="117"/>
  <c r="O41" i="117"/>
  <c r="R41" i="117" s="1"/>
  <c r="N34" i="119"/>
  <c r="R35" i="117"/>
  <c r="N37" i="117"/>
  <c r="N30" i="117"/>
  <c r="O30" i="117"/>
  <c r="R30" i="117" s="1"/>
  <c r="H50" i="117"/>
  <c r="R23" i="117"/>
  <c r="R24" i="117"/>
  <c r="R12" i="117"/>
  <c r="B25" i="131"/>
  <c r="C40" i="131"/>
  <c r="N47" i="119"/>
  <c r="G31" i="120"/>
  <c r="N24" i="129"/>
  <c r="R25" i="33"/>
  <c r="S25" i="33"/>
  <c r="S26" i="33" s="1"/>
  <c r="K40" i="131" l="1"/>
  <c r="B40" i="131"/>
  <c r="L26" i="33"/>
  <c r="R50" i="33"/>
  <c r="N50" i="117"/>
  <c r="D40" i="131"/>
  <c r="E40" i="131"/>
  <c r="H40" i="131"/>
  <c r="O48" i="117"/>
  <c r="R48" i="117" s="1"/>
  <c r="O37" i="117"/>
  <c r="R37" i="117" s="1"/>
  <c r="O16" i="117"/>
  <c r="R16" i="117" s="1"/>
  <c r="C26" i="33"/>
  <c r="C50" i="33"/>
  <c r="O26" i="33"/>
  <c r="M40" i="131"/>
  <c r="J40" i="131"/>
  <c r="G40" i="131"/>
  <c r="R26" i="33"/>
  <c r="L50" i="33"/>
  <c r="I26" i="33"/>
  <c r="F26" i="33"/>
  <c r="F50" i="33"/>
  <c r="O50" i="33"/>
  <c r="I50" i="33"/>
  <c r="N37" i="129"/>
  <c r="M42" i="36"/>
  <c r="N31" i="120"/>
  <c r="J4" i="33"/>
  <c r="J29" i="33" s="1"/>
  <c r="I29" i="33"/>
  <c r="L4" i="33"/>
  <c r="N36" i="129"/>
  <c r="N48" i="119"/>
  <c r="O50" i="117" l="1"/>
  <c r="R50" i="117" s="1"/>
  <c r="M4" i="33"/>
  <c r="M29" i="33" s="1"/>
  <c r="O4" i="33"/>
  <c r="L29" i="33"/>
  <c r="O29" i="33" l="1"/>
  <c r="P4" i="33"/>
  <c r="P29" i="33" s="1"/>
  <c r="R4" i="33"/>
  <c r="S4" i="33" l="1"/>
  <c r="S29" i="33" s="1"/>
  <c r="R29" i="33"/>
</calcChain>
</file>

<file path=xl/sharedStrings.xml><?xml version="1.0" encoding="utf-8"?>
<sst xmlns="http://schemas.openxmlformats.org/spreadsheetml/2006/main" count="1238" uniqueCount="308">
  <si>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</si>
  <si>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</si>
  <si>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</si>
  <si>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</si>
  <si>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</si>
  <si>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</si>
  <si>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</si>
  <si>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</si>
  <si>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</si>
  <si>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</si>
  <si>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</si>
  <si>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</si>
  <si>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</si>
  <si>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</si>
  <si>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</si>
  <si>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</si>
  <si>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</si>
  <si>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</si>
  <si>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</si>
  <si>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</si>
  <si>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</si>
  <si>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</si>
  <si>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</si>
  <si>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</si>
  <si>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</si>
  <si>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</si>
  <si>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</si>
  <si>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</si>
  <si>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</si>
  <si>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</si>
  <si>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</si>
  <si>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</si>
  <si>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</si>
  <si>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</si>
  <si>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</si>
  <si>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</si>
  <si>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</si>
  <si>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</si>
  <si>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</si>
  <si>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</si>
  <si>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</si>
  <si>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</si>
  <si>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</si>
  <si>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</si>
  <si>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</si>
  <si>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</si>
  <si>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</si>
  <si>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</si>
  <si>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</si>
  <si>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</si>
  <si>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</si>
  <si>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 xml:space="preserve">Ex Ante Estimated MW </t>
  </si>
  <si>
    <t>Ex Post Estimated MW</t>
  </si>
  <si>
    <t xml:space="preserve">Ex Post Estimated MW </t>
  </si>
  <si>
    <t>Eligible Accounts as of Aug 31, 2012</t>
  </si>
  <si>
    <t>Interruptible/Reliability</t>
  </si>
  <si>
    <t xml:space="preserve"> </t>
  </si>
  <si>
    <t xml:space="preserve">  Sub-Total Interruptible</t>
  </si>
  <si>
    <t>Demand Response Programs</t>
  </si>
  <si>
    <t>TOU-PA-P Agricultural</t>
  </si>
  <si>
    <t>Sub-Total Demand Response Programs</t>
  </si>
  <si>
    <t>Total All Programs</t>
  </si>
  <si>
    <t>July</t>
  </si>
  <si>
    <t xml:space="preserve">August </t>
  </si>
  <si>
    <t xml:space="preserve">September </t>
  </si>
  <si>
    <t>October</t>
  </si>
  <si>
    <t xml:space="preserve">November </t>
  </si>
  <si>
    <t>December</t>
  </si>
  <si>
    <t>Notes:</t>
  </si>
  <si>
    <r>
      <rPr>
        <vertAlign val="superscript"/>
        <sz val="11"/>
        <color rgb="FFFF0000"/>
        <rFont val="Arial"/>
        <family val="2"/>
      </rPr>
      <t xml:space="preserve">1 </t>
    </r>
    <r>
      <rPr>
        <sz val="11"/>
        <rFont val="Arial"/>
        <family val="2"/>
      </rPr>
      <t xml:space="preserve"> The Ex-Ante average per customer are based on Program Year 2018 SDG&amp;E DR Load Impacts report filed April 2, 2019 based on year 2020 for the months of January and February.</t>
    </r>
  </si>
  <si>
    <r>
      <rPr>
        <vertAlign val="superscript"/>
        <sz val="11"/>
        <color rgb="FFFF0000"/>
        <rFont val="Arial"/>
        <family val="2"/>
      </rPr>
      <t xml:space="preserve">2  </t>
    </r>
    <r>
      <rPr>
        <sz val="11"/>
        <rFont val="Arial"/>
        <family val="2"/>
      </rPr>
      <t>The Ex-Post average per customer are based on Program Year 2018 SDG&amp;E DR Load Impacts report filed on April 2, 2019 for the months of January and February.</t>
    </r>
  </si>
  <si>
    <t>-  Capacity Bidding Program reports the number of nominations not enrollments.</t>
  </si>
  <si>
    <t>(End of page)</t>
  </si>
  <si>
    <t>Average Ex Ante Load Impact kW / Customer</t>
  </si>
  <si>
    <r>
      <t xml:space="preserve">March </t>
    </r>
    <r>
      <rPr>
        <b/>
        <vertAlign val="superscript"/>
        <sz val="10"/>
        <color rgb="FFFF0000"/>
        <rFont val="Arial"/>
        <family val="2"/>
      </rPr>
      <t>1</t>
    </r>
  </si>
  <si>
    <r>
      <t xml:space="preserve">April </t>
    </r>
    <r>
      <rPr>
        <b/>
        <vertAlign val="superscript"/>
        <sz val="10"/>
        <color rgb="FFFF0000"/>
        <rFont val="Arial"/>
        <family val="2"/>
      </rPr>
      <t>1</t>
    </r>
  </si>
  <si>
    <r>
      <t xml:space="preserve">May </t>
    </r>
    <r>
      <rPr>
        <b/>
        <vertAlign val="superscript"/>
        <sz val="10"/>
        <color rgb="FFFF0000"/>
        <rFont val="Arial"/>
        <family val="2"/>
      </rPr>
      <t>1</t>
    </r>
  </si>
  <si>
    <r>
      <t xml:space="preserve">June </t>
    </r>
    <r>
      <rPr>
        <b/>
        <vertAlign val="superscript"/>
        <sz val="10"/>
        <color rgb="FFFF0000"/>
        <rFont val="Arial"/>
        <family val="2"/>
      </rPr>
      <t>1</t>
    </r>
  </si>
  <si>
    <r>
      <t xml:space="preserve">July </t>
    </r>
    <r>
      <rPr>
        <b/>
        <vertAlign val="superscript"/>
        <sz val="10"/>
        <color rgb="FFFF0000"/>
        <rFont val="Arial"/>
        <family val="2"/>
      </rPr>
      <t>1</t>
    </r>
  </si>
  <si>
    <r>
      <t xml:space="preserve">August </t>
    </r>
    <r>
      <rPr>
        <b/>
        <vertAlign val="superscript"/>
        <sz val="10"/>
        <color rgb="FFFF0000"/>
        <rFont val="Arial"/>
        <family val="2"/>
      </rPr>
      <t>1</t>
    </r>
  </si>
  <si>
    <r>
      <t xml:space="preserve">September </t>
    </r>
    <r>
      <rPr>
        <b/>
        <vertAlign val="superscript"/>
        <sz val="10"/>
        <color rgb="FFFF0000"/>
        <rFont val="Arial"/>
        <family val="2"/>
      </rPr>
      <t>1</t>
    </r>
  </si>
  <si>
    <r>
      <t xml:space="preserve">November </t>
    </r>
    <r>
      <rPr>
        <b/>
        <vertAlign val="superscript"/>
        <sz val="10"/>
        <color rgb="FFFF0000"/>
        <rFont val="Arial"/>
        <family val="2"/>
      </rPr>
      <t>1</t>
    </r>
  </si>
  <si>
    <r>
      <t xml:space="preserve">December </t>
    </r>
    <r>
      <rPr>
        <b/>
        <vertAlign val="superscript"/>
        <sz val="10"/>
        <color rgb="FFFF0000"/>
        <rFont val="Arial"/>
        <family val="2"/>
      </rPr>
      <t>1</t>
    </r>
  </si>
  <si>
    <t>Eligible Accounts as of January</t>
  </si>
  <si>
    <t>Eligibility Criteria (Refer to tariff for specifics)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</si>
  <si>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</si>
  <si>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</si>
  <si>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</si>
  <si>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</si>
  <si>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</si>
  <si>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</si>
  <si>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</si>
  <si>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</si>
  <si>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</si>
  <si>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</si>
  <si>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</si>
  <si>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</si>
  <si>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January-April and November-December. Therefore, the estimates are showing as zero.</t>
  </si>
  <si>
    <t>-  CPP-D, TOU-DR-P (Voluntary Residential) and TOU-A-P (Small Commercial) include Technology Deployment (TD).</t>
  </si>
  <si>
    <t> </t>
  </si>
  <si>
    <t>Average Ex Post Load Impact kW / Customer</t>
  </si>
  <si>
    <t xml:space="preserve">Notes: </t>
  </si>
  <si>
    <r>
      <rPr>
        <vertAlign val="superscript"/>
        <sz val="11"/>
        <color rgb="FFFF0000"/>
        <rFont val="Arial"/>
        <family val="2"/>
      </rPr>
      <t xml:space="preserve">1 </t>
    </r>
    <r>
      <rPr>
        <sz val="11"/>
        <rFont val="Arial"/>
        <family val="2"/>
      </rPr>
      <t xml:space="preserve">The Program Year 2019 Ex-Post average per customer for the months of March-December are intentionally in blank and will be updated in April 2020 when the Annual Load Impact Report is filed.” </t>
    </r>
  </si>
  <si>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</si>
  <si>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</si>
  <si>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</si>
  <si>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</si>
  <si>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</si>
  <si>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</si>
  <si>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</si>
  <si>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</si>
  <si>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</si>
  <si>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</si>
  <si>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</si>
  <si>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</si>
  <si>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</si>
  <si>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</si>
  <si>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</si>
  <si>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August</t>
  </si>
  <si>
    <t>September</t>
  </si>
  <si>
    <t>November</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</si>
  <si>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</si>
  <si>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</si>
  <si>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</si>
  <si>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</si>
  <si>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</si>
  <si>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</si>
  <si>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</si>
  <si>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</si>
  <si>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</si>
  <si>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</si>
  <si>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</si>
  <si>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</si>
  <si>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</si>
  <si>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</si>
  <si>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</si>
  <si>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</si>
  <si>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</si>
  <si>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</si>
  <si>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</si>
  <si>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</si>
  <si>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</si>
  <si>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</si>
  <si>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</si>
  <si>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</si>
  <si>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</si>
  <si>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</si>
  <si>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</si>
  <si>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</si>
  <si>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</si>
  <si>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</si>
  <si>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</si>
  <si>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</si>
  <si>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</si>
  <si>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</si>
  <si>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</si>
  <si>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</si>
  <si>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</si>
  <si>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</si>
  <si>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</si>
  <si>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</si>
  <si>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</si>
  <si>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</si>
  <si>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</si>
  <si>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r>
      <t>Smart Pricing</t>
    </r>
    <r>
      <rPr>
        <vertAlign val="superscript"/>
        <sz val="10"/>
        <color rgb="FFFF0000"/>
        <rFont val="Arial"/>
        <family val="2"/>
      </rPr>
      <t xml:space="preserve"> </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</si>
  <si>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</si>
  <si>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</si>
  <si>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</si>
  <si>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</si>
  <si>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</si>
  <si>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Collateral- Development, Printing, Distribution etc. (all non-labor costs)</t>
  </si>
  <si>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</si>
  <si>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</si>
  <si>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</si>
  <si>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</si>
  <si>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</si>
  <si>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</si>
  <si>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</si>
  <si>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</si>
  <si>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</si>
  <si>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</si>
  <si>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</si>
  <si>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t>FUND SHIFT LOG</t>
  </si>
  <si>
    <t>Program Category</t>
  </si>
  <si>
    <t>Fund Shift</t>
  </si>
  <si>
    <t>Programs Impacted</t>
  </si>
  <si>
    <t>Date</t>
  </si>
  <si>
    <t xml:space="preserve">Rationale for Fund Shift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</si>
  <si>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</si>
  <si>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</si>
  <si>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</si>
  <si>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</si>
  <si>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</si>
  <si>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</si>
  <si>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</si>
  <si>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</si>
  <si>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</si>
  <si>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</si>
  <si>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</si>
  <si>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</si>
  <si>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t xml:space="preserve">Capacity Bidding Program (CBP)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</si>
  <si>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</si>
  <si>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</si>
  <si>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</si>
  <si>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</si>
  <si>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</si>
  <si>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</si>
  <si>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</si>
  <si>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</si>
  <si>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</si>
  <si>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</si>
  <si>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</si>
  <si>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</si>
  <si>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</si>
  <si>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</si>
  <si>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</si>
  <si>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</si>
  <si>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</si>
  <si>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 xml:space="preserve"> Budget Category 5 Total</t>
  </si>
  <si>
    <t>Category 6:  Marketing, Education, and Outreach</t>
  </si>
  <si>
    <t xml:space="preserve">Local Marketing Education &amp; Outreach (LME&amp;O) </t>
  </si>
  <si>
    <t xml:space="preserve"> Budget Category 6 Total</t>
  </si>
  <si>
    <t>Category 7:  Portfolio Support</t>
  </si>
  <si>
    <t>Regulatory Policy &amp; Program Support (Gen. Admin.)</t>
  </si>
  <si>
    <t xml:space="preserve">IT Infrastructure &amp; Systems Support </t>
  </si>
  <si>
    <t xml:space="preserve">EM&amp;V </t>
  </si>
  <si>
    <t>DR Potential Study</t>
  </si>
  <si>
    <t xml:space="preserve"> Budget Category 7 Total</t>
  </si>
  <si>
    <t>Total Incremental Cost</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</si>
  <si>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</si>
  <si>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</si>
  <si>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</si>
  <si>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</si>
  <si>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</si>
  <si>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</si>
  <si>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</si>
  <si>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</si>
  <si>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</si>
  <si>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</si>
  <si>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</si>
  <si>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</si>
  <si>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</si>
  <si>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</si>
  <si>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</si>
  <si>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</si>
  <si>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</si>
  <si>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</si>
  <si>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</si>
  <si>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</si>
  <si>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9"/>
        <color rgb="FFFF0000"/>
        <rFont val="Arial"/>
        <family val="2"/>
      </rPr>
      <t xml:space="preserve"> </t>
    </r>
  </si>
  <si>
    <t>General Admin</t>
  </si>
  <si>
    <t>IT</t>
  </si>
  <si>
    <r>
      <t>EM&amp;V</t>
    </r>
    <r>
      <rPr>
        <vertAlign val="superscript"/>
        <sz val="9"/>
        <color rgb="FFFF0000"/>
        <rFont val="Arial"/>
        <family val="2"/>
      </rPr>
      <t xml:space="preserve"> </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</si>
  <si>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</si>
  <si>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</si>
  <si>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</si>
  <si>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</si>
  <si>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</si>
  <si>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t>IDSM DR Com</t>
  </si>
  <si>
    <t xml:space="preserve">Behavioral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</si>
  <si>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</si>
  <si>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</si>
  <si>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</si>
  <si>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</si>
  <si>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</si>
  <si>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</si>
  <si>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</si>
  <si>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</si>
  <si>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</si>
  <si>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</si>
  <si>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</si>
  <si>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</si>
  <si>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</si>
  <si>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</si>
  <si>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</si>
  <si>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</si>
  <si>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</si>
  <si>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</si>
  <si>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</si>
  <si>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</si>
  <si>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</si>
  <si>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</si>
  <si>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</si>
  <si>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</si>
  <si>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</si>
  <si>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</si>
  <si>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</si>
  <si>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t xml:space="preserve">Rule 32 </t>
  </si>
  <si>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</si>
  <si>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</si>
  <si>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</si>
  <si>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</si>
  <si>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</si>
  <si>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</si>
  <si>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</si>
  <si>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</si>
  <si>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</si>
  <si>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</si>
  <si>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</si>
  <si>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</si>
  <si>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</si>
  <si>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</si>
  <si>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 xml:space="preserve">1 </t>
    </r>
    <r>
      <rPr>
        <sz val="11"/>
        <rFont val="Arial"/>
        <family val="2"/>
      </rPr>
      <t xml:space="preserve">The Program Year 2019 Ex-Ante average per customer for the months of March-December are intentionally left blank and will be updated in April 2020 when the Annual Load Impact Report is filed. </t>
    </r>
  </si>
  <si>
    <r>
      <t xml:space="preserve">October </t>
    </r>
    <r>
      <rPr>
        <b/>
        <vertAlign val="superscript"/>
        <sz val="10"/>
        <color rgb="FFFF0000"/>
        <rFont val="Arial"/>
        <family val="2"/>
      </rPr>
      <t>1</t>
    </r>
  </si>
  <si>
    <r>
      <rPr>
        <vertAlign val="superscript"/>
        <sz val="11"/>
        <color rgb="FFFF0000"/>
        <rFont val="Arial"/>
        <family val="2"/>
      </rPr>
      <t>1</t>
    </r>
    <r>
      <rPr>
        <b/>
        <vertAlign val="superscript"/>
        <sz val="11"/>
        <color rgb="FFFF0000"/>
        <rFont val="Arial"/>
        <family val="2"/>
      </rPr>
      <t xml:space="preserve">  </t>
    </r>
    <r>
      <rPr>
        <sz val="11"/>
        <rFont val="Arial"/>
        <family val="2"/>
      </rPr>
      <t>If the MW</t>
    </r>
    <r>
      <rPr>
        <sz val="11"/>
        <color theme="1"/>
        <rFont val="Arial"/>
        <family val="2"/>
      </rPr>
      <t xml:space="preserve"> Load Re</t>
    </r>
    <r>
      <rPr>
        <sz val="11"/>
        <rFont val="Arial"/>
        <family val="2"/>
      </rPr>
      <t>duction is 0.00, there was no actual load reduction. If the MW Load Reduction is negative, there was an increase of load during the event hours.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</si>
  <si>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</si>
  <si>
    <t>-  The Ex-Ante average per customer for the year of 2020 (months of January and February) are based on Program Year 2018 SDG&amp;E DR Load Impacts report filed on April 2, 2019.</t>
  </si>
  <si>
    <t>-  The Ex-Post average per customer for the year of 2020 (months of January and February) are based on Program Year 2018 SDG&amp;E DR Load Impacts report filed on April 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</si>
</sst>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0"/>
      <name val="Century Gothic"/>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sz val="11"/>
      <color theme="1"/>
      <name val="Arial"/>
      <family val="2"/>
    </font>
  </fonts>
  <fills count="5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
      <patternFill patternType="solid">
        <fgColor theme="0" tint="-4.9989318521683403E-2"/>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4" applyNumberFormat="0" applyProtection="0">
      <alignment horizontal="right" vertical="center"/>
    </xf>
    <xf numFmtId="4" fontId="42" fillId="52" borderId="84" applyNumberFormat="0" applyProtection="0">
      <alignment horizontal="left" vertical="center" indent="1"/>
    </xf>
    <xf numFmtId="43" fontId="1" fillId="0" borderId="0" applyFont="0" applyFill="0" applyBorder="0" applyAlignment="0" applyProtection="0"/>
  </cellStyleXfs>
  <cellXfs count="729">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3"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0" xfId="66" applyFont="1" applyBorder="1" applyAlignment="1">
      <alignment horizontal="center" wrapText="1"/>
    </xf>
    <xf numFmtId="175" fontId="44" fillId="0" borderId="45" xfId="66" applyFont="1" applyBorder="1" applyAlignment="1">
      <alignment horizontal="center"/>
    </xf>
    <xf numFmtId="175" fontId="13" fillId="0" borderId="46" xfId="66" applyBorder="1"/>
    <xf numFmtId="175" fontId="14" fillId="0" borderId="45" xfId="66" applyFont="1" applyBorder="1" applyAlignment="1">
      <alignment horizontal="center"/>
    </xf>
    <xf numFmtId="175" fontId="13" fillId="0" borderId="45" xfId="66" applyBorder="1"/>
    <xf numFmtId="164" fontId="13" fillId="0" borderId="0" xfId="66" applyNumberFormat="1"/>
    <xf numFmtId="164" fontId="13" fillId="0" borderId="46" xfId="66" applyNumberFormat="1" applyBorder="1"/>
    <xf numFmtId="164" fontId="13" fillId="0" borderId="44" xfId="66" applyNumberFormat="1" applyBorder="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51" xfId="66" applyFont="1" applyBorder="1" applyAlignment="1">
      <alignment horizontal="left" indent="1"/>
    </xf>
    <xf numFmtId="164" fontId="13" fillId="0" borderId="52" xfId="66" applyNumberFormat="1" applyBorder="1"/>
    <xf numFmtId="164" fontId="13" fillId="44" borderId="44"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75" fontId="14" fillId="0" borderId="34"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5"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4"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6" xfId="66" applyNumberFormat="1" applyBorder="1" applyProtection="1">
      <protection locked="0"/>
    </xf>
    <xf numFmtId="175" fontId="51" fillId="47" borderId="0" xfId="0" applyFont="1" applyFill="1" applyAlignment="1">
      <alignment horizontal="center"/>
    </xf>
    <xf numFmtId="175" fontId="14" fillId="0" borderId="56"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3" borderId="18" xfId="66" applyFont="1" applyFill="1" applyBorder="1" applyAlignment="1">
      <alignment horizontal="center"/>
    </xf>
    <xf numFmtId="44" fontId="65" fillId="43" borderId="18" xfId="50"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3" xfId="66" applyFont="1" applyBorder="1" applyAlignment="1">
      <alignment wrapText="1"/>
    </xf>
    <xf numFmtId="175" fontId="65" fillId="0" borderId="20" xfId="66" applyFont="1" applyBorder="1"/>
    <xf numFmtId="44" fontId="65" fillId="43" borderId="18" xfId="50" applyFont="1" applyFill="1" applyBorder="1"/>
    <xf numFmtId="175" fontId="65" fillId="0" borderId="57" xfId="66" applyFont="1" applyBorder="1" applyAlignment="1">
      <alignment wrapText="1"/>
    </xf>
    <xf numFmtId="164" fontId="65" fillId="43" borderId="56"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43" fontId="13" fillId="0" borderId="24" xfId="0" applyNumberFormat="1" applyFont="1" applyBorder="1" applyAlignment="1">
      <alignment horizontal="center"/>
    </xf>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3" xfId="520" applyFont="1" applyBorder="1"/>
    <xf numFmtId="0" fontId="73" fillId="0" borderId="17" xfId="520" applyFont="1" applyBorder="1"/>
    <xf numFmtId="0" fontId="75" fillId="0" borderId="22" xfId="520" applyFont="1" applyBorder="1"/>
    <xf numFmtId="175" fontId="13" fillId="0" borderId="60" xfId="66" applyBorder="1" applyProtection="1">
      <protection locked="0"/>
    </xf>
    <xf numFmtId="175" fontId="13" fillId="0" borderId="61"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75" fontId="13" fillId="47" borderId="40" xfId="0" applyFont="1" applyFill="1" applyBorder="1"/>
    <xf numFmtId="167" fontId="13" fillId="0" borderId="62" xfId="66" applyNumberFormat="1" applyBorder="1"/>
    <xf numFmtId="6" fontId="13" fillId="0" borderId="63" xfId="66" applyNumberFormat="1" applyBorder="1" applyProtection="1">
      <protection locked="0"/>
    </xf>
    <xf numFmtId="175" fontId="13" fillId="0" borderId="64"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5"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4" fillId="47" borderId="11" xfId="66" applyFont="1" applyFill="1" applyBorder="1" applyAlignment="1" applyProtection="1">
      <alignment horizontal="center" wrapText="1"/>
      <protection locked="0"/>
    </xf>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7" xfId="66" applyFont="1" applyBorder="1"/>
    <xf numFmtId="175" fontId="14" fillId="0" borderId="59" xfId="66" applyFont="1" applyBorder="1" applyAlignment="1">
      <alignment horizontal="center"/>
    </xf>
    <xf numFmtId="175" fontId="14" fillId="0" borderId="59" xfId="66" applyFont="1" applyBorder="1" applyAlignment="1">
      <alignment horizontal="left"/>
    </xf>
    <xf numFmtId="175" fontId="14" fillId="0" borderId="39" xfId="66" applyFont="1" applyBorder="1"/>
    <xf numFmtId="175" fontId="13" fillId="0" borderId="59" xfId="66" applyBorder="1"/>
    <xf numFmtId="175" fontId="14" fillId="0" borderId="59" xfId="66" applyFont="1" applyBorder="1"/>
    <xf numFmtId="175" fontId="14" fillId="0" borderId="39" xfId="66" applyFont="1" applyBorder="1" applyAlignment="1">
      <alignment horizontal="left" wrapText="1" indent="1"/>
    </xf>
    <xf numFmtId="175" fontId="14" fillId="0" borderId="59" xfId="66" applyFont="1" applyBorder="1" applyAlignment="1">
      <alignment horizontal="left" indent="1"/>
    </xf>
    <xf numFmtId="175" fontId="14" fillId="0" borderId="59" xfId="66" applyFont="1" applyBorder="1" applyAlignment="1">
      <alignment horizontal="center" wrapText="1"/>
    </xf>
    <xf numFmtId="175" fontId="14" fillId="0" borderId="39" xfId="66" applyFont="1" applyBorder="1" applyAlignment="1">
      <alignment horizontal="left" indent="1"/>
    </xf>
    <xf numFmtId="175" fontId="14" fillId="0" borderId="66" xfId="66" applyFont="1" applyBorder="1" applyAlignment="1">
      <alignment horizontal="left" indent="1"/>
    </xf>
    <xf numFmtId="175" fontId="14" fillId="0" borderId="70" xfId="66" applyFont="1" applyBorder="1" applyAlignment="1">
      <alignment wrapText="1"/>
    </xf>
    <xf numFmtId="175" fontId="14" fillId="0" borderId="71" xfId="66" applyFont="1" applyBorder="1" applyAlignment="1">
      <alignment horizontal="center" wrapText="1"/>
    </xf>
    <xf numFmtId="164" fontId="13" fillId="0" borderId="68" xfId="66" applyNumberFormat="1" applyBorder="1"/>
    <xf numFmtId="164" fontId="13" fillId="0" borderId="61" xfId="66" applyNumberFormat="1" applyBorder="1"/>
    <xf numFmtId="164" fontId="13" fillId="0" borderId="72" xfId="66" applyNumberFormat="1" applyBorder="1"/>
    <xf numFmtId="164" fontId="13" fillId="44" borderId="61" xfId="66" applyNumberFormat="1" applyFill="1" applyBorder="1" applyAlignment="1">
      <alignment horizontal="right"/>
    </xf>
    <xf numFmtId="164" fontId="14" fillId="0" borderId="73" xfId="66" applyNumberFormat="1" applyFont="1" applyBorder="1"/>
    <xf numFmtId="175" fontId="14" fillId="0" borderId="74" xfId="66" applyFont="1" applyBorder="1" applyAlignment="1">
      <alignment horizontal="center"/>
    </xf>
    <xf numFmtId="175" fontId="14" fillId="0" borderId="71" xfId="66" applyFont="1" applyBorder="1" applyAlignment="1">
      <alignment horizontal="center"/>
    </xf>
    <xf numFmtId="164" fontId="13" fillId="0" borderId="68" xfId="66" applyNumberFormat="1" applyBorder="1" applyAlignment="1">
      <alignment horizontal="center"/>
    </xf>
    <xf numFmtId="164" fontId="13" fillId="0" borderId="61" xfId="66" applyNumberFormat="1" applyBorder="1" applyAlignment="1">
      <alignment horizontal="center"/>
    </xf>
    <xf numFmtId="164" fontId="13" fillId="0" borderId="68" xfId="66" applyNumberFormat="1" applyBorder="1" applyAlignment="1" applyProtection="1">
      <alignment horizontal="center"/>
      <protection locked="0"/>
    </xf>
    <xf numFmtId="164" fontId="13" fillId="0" borderId="76" xfId="66" applyNumberFormat="1" applyBorder="1" applyAlignment="1" applyProtection="1">
      <alignment horizontal="center"/>
      <protection locked="0"/>
    </xf>
    <xf numFmtId="164" fontId="13" fillId="0" borderId="72" xfId="66" applyNumberFormat="1" applyBorder="1" applyAlignment="1">
      <alignment horizontal="center"/>
    </xf>
    <xf numFmtId="164" fontId="13" fillId="44" borderId="61" xfId="66" applyNumberFormat="1" applyFill="1" applyBorder="1" applyAlignment="1">
      <alignment horizontal="center"/>
    </xf>
    <xf numFmtId="164" fontId="14" fillId="0" borderId="73"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3"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3"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58" xfId="66" applyFont="1" applyFill="1" applyBorder="1" applyAlignment="1">
      <alignment horizontal="center"/>
    </xf>
    <xf numFmtId="175" fontId="14" fillId="0" borderId="58" xfId="0" applyFont="1" applyBorder="1" applyAlignment="1">
      <alignment wrapText="1"/>
    </xf>
    <xf numFmtId="175" fontId="14" fillId="0" borderId="67"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4"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3"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7" fillId="0" borderId="17" xfId="520" applyFont="1" applyBorder="1"/>
    <xf numFmtId="0" fontId="54" fillId="49" borderId="20" xfId="520" applyFont="1" applyFill="1" applyBorder="1"/>
    <xf numFmtId="0" fontId="54" fillId="0" borderId="21" xfId="520" applyFont="1" applyBorder="1"/>
    <xf numFmtId="177"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13" fillId="0" borderId="0" xfId="782"/>
    <xf numFmtId="175" fontId="14" fillId="0" borderId="11" xfId="0" applyFont="1" applyBorder="1" applyAlignment="1">
      <alignment horizontal="center"/>
    </xf>
    <xf numFmtId="175" fontId="0" fillId="0" borderId="53"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2"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81"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6" fillId="0" borderId="82" xfId="0" applyNumberFormat="1" applyFont="1" applyFill="1" applyBorder="1"/>
    <xf numFmtId="175" fontId="56" fillId="0" borderId="83" xfId="0" applyFont="1" applyFill="1" applyBorder="1"/>
    <xf numFmtId="175" fontId="56" fillId="0" borderId="83"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75" fontId="62" fillId="47" borderId="0" xfId="66" applyFont="1" applyFill="1" applyProtection="1">
      <protection locked="0"/>
    </xf>
    <xf numFmtId="1" fontId="13" fillId="0" borderId="0" xfId="0" applyNumberFormat="1" applyFont="1" applyProtection="1">
      <protection locked="0"/>
    </xf>
    <xf numFmtId="175" fontId="66" fillId="47" borderId="40" xfId="0" applyFont="1" applyFill="1" applyBorder="1"/>
    <xf numFmtId="6" fontId="13" fillId="47" borderId="53"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3"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3"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85" xfId="66" applyFont="1" applyBorder="1" applyAlignment="1">
      <alignment horizontal="left" wrapText="1" indent="1"/>
    </xf>
    <xf numFmtId="175" fontId="13" fillId="0" borderId="15" xfId="66" applyBorder="1"/>
    <xf numFmtId="175" fontId="13" fillId="0" borderId="13" xfId="66" applyBorder="1"/>
    <xf numFmtId="164" fontId="13" fillId="0" borderId="13" xfId="66" applyNumberFormat="1" applyBorder="1"/>
    <xf numFmtId="164" fontId="13" fillId="0" borderId="34" xfId="66" applyNumberFormat="1" applyBorder="1"/>
    <xf numFmtId="175" fontId="14" fillId="0" borderId="85" xfId="66" applyFont="1" applyBorder="1"/>
    <xf numFmtId="8" fontId="66" fillId="0" borderId="17" xfId="66" applyNumberFormat="1" applyFont="1" applyBorder="1"/>
    <xf numFmtId="164" fontId="65" fillId="0" borderId="21" xfId="66" applyNumberFormat="1" applyFont="1" applyBorder="1"/>
    <xf numFmtId="164" fontId="65" fillId="0" borderId="14"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164" fontId="13" fillId="0" borderId="19" xfId="66" applyNumberFormat="1" applyBorder="1" applyAlignment="1">
      <alignment horizontal="center"/>
    </xf>
    <xf numFmtId="3" fontId="13" fillId="0" borderId="86"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64" fontId="14" fillId="0" borderId="0" xfId="66" applyNumberFormat="1" applyFont="1" applyBorder="1" applyAlignment="1">
      <alignment horizontal="center"/>
    </xf>
    <xf numFmtId="175" fontId="68" fillId="0" borderId="0" xfId="66" applyFont="1" applyBorder="1" applyAlignment="1">
      <alignment wrapText="1"/>
    </xf>
    <xf numFmtId="175" fontId="13" fillId="47" borderId="0" xfId="0" quotePrefix="1" applyFont="1" applyFill="1" applyAlignment="1">
      <alignment horizontal="left" vertical="top" wrapText="1"/>
    </xf>
    <xf numFmtId="2" fontId="13" fillId="47" borderId="0" xfId="0" quotePrefix="1" applyNumberFormat="1" applyFont="1" applyFill="1" applyAlignment="1">
      <alignment horizontal="left" vertical="top" wrapText="1"/>
    </xf>
    <xf numFmtId="3" fontId="13" fillId="0" borderId="0" xfId="0" applyNumberFormat="1" applyFont="1" applyBorder="1" applyAlignment="1">
      <alignment horizontal="left" vertical="center" wrapText="1"/>
    </xf>
    <xf numFmtId="175" fontId="14" fillId="0" borderId="34" xfId="0" quotePrefix="1" applyFont="1" applyBorder="1" applyAlignment="1">
      <alignment horizontal="center"/>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 fontId="13" fillId="0" borderId="19" xfId="0" applyNumberFormat="1" applyFont="1" applyBorder="1" applyAlignment="1">
      <alignment vertical="center"/>
    </xf>
    <xf numFmtId="175" fontId="15" fillId="47" borderId="0" xfId="0" applyFont="1" applyFill="1" applyAlignment="1" applyProtection="1">
      <alignment vertical="top" wrapText="1"/>
      <protection locked="0"/>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2" fontId="13" fillId="0" borderId="19" xfId="0" applyNumberFormat="1" applyFont="1" applyBorder="1"/>
    <xf numFmtId="3" fontId="13" fillId="0" borderId="14" xfId="0" applyNumberFormat="1" applyFont="1" applyBorder="1" applyAlignment="1">
      <alignment horizontal="center" vertical="center"/>
    </xf>
    <xf numFmtId="175" fontId="13" fillId="0" borderId="0" xfId="0" applyFont="1" applyBorder="1"/>
    <xf numFmtId="2" fontId="13" fillId="0" borderId="0" xfId="0" applyNumberFormat="1" applyFont="1" applyBorder="1"/>
    <xf numFmtId="3" fontId="13" fillId="0" borderId="0" xfId="0" applyNumberFormat="1" applyFont="1" applyBorder="1"/>
    <xf numFmtId="175" fontId="13" fillId="0" borderId="0" xfId="0"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6" fillId="43" borderId="15" xfId="66" applyFont="1" applyFill="1" applyBorder="1"/>
    <xf numFmtId="175" fontId="65" fillId="43" borderId="11" xfId="66" applyFont="1" applyFill="1" applyBorder="1" applyAlignment="1">
      <alignment horizontal="center" wrapText="1"/>
    </xf>
    <xf numFmtId="175" fontId="65" fillId="43" borderId="13" xfId="66" applyFont="1" applyFill="1" applyBorder="1" applyAlignment="1">
      <alignment horizontal="center" wrapText="1"/>
    </xf>
    <xf numFmtId="175" fontId="65" fillId="0" borderId="13" xfId="66" applyFont="1" applyBorder="1" applyAlignment="1">
      <alignment horizontal="center" wrapText="1"/>
    </xf>
    <xf numFmtId="164" fontId="66" fillId="0" borderId="13" xfId="66" applyNumberFormat="1" applyFont="1" applyBorder="1"/>
    <xf numFmtId="164" fontId="66" fillId="47" borderId="13" xfId="66" applyNumberFormat="1" applyFont="1" applyFill="1" applyBorder="1"/>
    <xf numFmtId="164" fontId="65" fillId="0" borderId="11" xfId="66" applyNumberFormat="1" applyFont="1" applyBorder="1" applyAlignment="1">
      <alignment horizontal="right"/>
    </xf>
    <xf numFmtId="164" fontId="66" fillId="0" borderId="34" xfId="66" applyNumberFormat="1" applyFont="1" applyBorder="1"/>
    <xf numFmtId="164" fontId="65" fillId="0" borderId="13" xfId="66" applyNumberFormat="1" applyFont="1" applyBorder="1"/>
    <xf numFmtId="164" fontId="65" fillId="43" borderId="87" xfId="66" applyNumberFormat="1" applyFont="1" applyFill="1" applyBorder="1"/>
    <xf numFmtId="164" fontId="65" fillId="43" borderId="34" xfId="66" applyNumberFormat="1" applyFont="1" applyFill="1" applyBorder="1"/>
    <xf numFmtId="164" fontId="65" fillId="0" borderId="34" xfId="66" applyNumberFormat="1" applyFont="1" applyBorder="1" applyAlignment="1">
      <alignment horizontal="right"/>
    </xf>
    <xf numFmtId="175" fontId="61" fillId="0" borderId="0" xfId="0" quotePrefix="1" applyFont="1" applyBorder="1" applyAlignment="1"/>
    <xf numFmtId="175" fontId="61" fillId="0" borderId="0" xfId="0" applyFont="1" applyBorder="1" applyAlignment="1"/>
    <xf numFmtId="175" fontId="69" fillId="47" borderId="0" xfId="0" quotePrefix="1" applyFont="1" applyFill="1" applyProtection="1">
      <protection locked="0"/>
    </xf>
    <xf numFmtId="175" fontId="90"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47" borderId="0" xfId="0" quotePrefix="1" applyFont="1" applyFill="1" applyAlignment="1">
      <alignment horizontal="left" vertical="top"/>
    </xf>
    <xf numFmtId="175" fontId="61" fillId="0" borderId="0" xfId="0" applyFont="1" applyAlignment="1">
      <alignment vertical="center"/>
    </xf>
    <xf numFmtId="0" fontId="70" fillId="0" borderId="0" xfId="520" applyFont="1"/>
    <xf numFmtId="175" fontId="61" fillId="0" borderId="0" xfId="0" quotePrefix="1" applyFont="1" applyBorder="1" applyAlignme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75" xfId="66" applyNumberFormat="1" applyBorder="1" applyAlignment="1">
      <alignment horizontal="right"/>
    </xf>
    <xf numFmtId="164" fontId="13" fillId="0" borderId="69" xfId="66" applyNumberFormat="1" applyBorder="1" applyAlignment="1">
      <alignment horizontal="right"/>
    </xf>
    <xf numFmtId="164" fontId="13" fillId="0" borderId="27" xfId="66" applyNumberFormat="1" applyBorder="1" applyAlignment="1">
      <alignment horizontal="right"/>
    </xf>
    <xf numFmtId="164" fontId="13" fillId="44" borderId="75" xfId="66" applyNumberFormat="1" applyFill="1" applyBorder="1" applyAlignment="1">
      <alignment horizontal="right"/>
    </xf>
    <xf numFmtId="164" fontId="13" fillId="44" borderId="18" xfId="66" applyNumberFormat="1" applyFill="1" applyBorder="1" applyAlignment="1">
      <alignment horizontal="right"/>
    </xf>
    <xf numFmtId="164" fontId="14" fillId="0" borderId="77" xfId="66" applyNumberFormat="1" applyFont="1" applyBorder="1" applyAlignment="1">
      <alignment horizontal="right"/>
    </xf>
    <xf numFmtId="164" fontId="14" fillId="0" borderId="48" xfId="66" applyNumberFormat="1" applyFont="1" applyBorder="1" applyAlignment="1">
      <alignment horizontal="right"/>
    </xf>
    <xf numFmtId="175" fontId="65" fillId="43" borderId="18" xfId="66" applyFont="1" applyFill="1" applyBorder="1" applyAlignment="1"/>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0" borderId="14" xfId="66" applyNumberFormat="1" applyFont="1" applyBorder="1" applyAlignment="1"/>
    <xf numFmtId="164" fontId="65" fillId="43" borderId="18" xfId="66" applyNumberFormat="1" applyFont="1" applyFill="1" applyBorder="1" applyAlignment="1"/>
    <xf numFmtId="164" fontId="65" fillId="43" borderId="42" xfId="66" applyNumberFormat="1" applyFont="1" applyFill="1" applyBorder="1" applyAlignment="1"/>
    <xf numFmtId="175" fontId="61" fillId="54" borderId="0" xfId="0" quotePrefix="1" applyFont="1" applyFill="1" applyAlignment="1">
      <alignment horizontal="left" vertical="top" wrapText="1"/>
    </xf>
    <xf numFmtId="175" fontId="14" fillId="0" borderId="78" xfId="0" applyFont="1" applyBorder="1" applyAlignment="1">
      <alignment horizontal="center"/>
    </xf>
    <xf numFmtId="175" fontId="14" fillId="0" borderId="79" xfId="0" applyFont="1" applyBorder="1" applyAlignment="1">
      <alignment horizontal="center"/>
    </xf>
    <xf numFmtId="175" fontId="14" fillId="0" borderId="80"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topLeftCell="A131" zoomScaleNormal="100" workbookViewId="0">
      <selection activeCell="A2" sqref="A2:H157"/>
    </sheetView>
  </sheetViews>
  <sheetFormatPr defaultColWidth="9.140625" defaultRowHeight="12.75"/>
  <cols>
    <col min="1" max="1" width="9.85546875" style="10" customWidth="1"/>
    <col min="2" max="2" width="28.5703125" style="10" customWidth="1"/>
    <col min="3" max="3" width="16.5703125" style="10" customWidth="1"/>
    <col min="4" max="4" width="17.42578125" style="10" customWidth="1"/>
    <col min="5" max="5" width="15" style="10" customWidth="1"/>
    <col min="6" max="6" width="23.140625" style="10" bestFit="1" customWidth="1"/>
    <col min="7" max="7" width="13.28515625" style="10" bestFit="1" customWidth="1"/>
    <col min="8" max="16384" width="9.140625" style="10"/>
  </cols>
  <sheetData>
    <row r="1" spans="1:8" s="550" customFormat="1" ht="39" thickBot="1">
      <c r="A1" s="551" t="s">
        <v>0</v>
      </c>
      <c r="B1" s="551" t="s">
        <v>1</v>
      </c>
      <c r="C1" s="551" t="s">
        <v>2</v>
      </c>
      <c r="D1" s="551" t="s">
        <v>3</v>
      </c>
      <c r="E1" s="552" t="s">
        <v>4</v>
      </c>
      <c r="F1" s="553" t="s">
        <v>5</v>
      </c>
      <c r="G1" s="554" t="s">
        <v>6</v>
      </c>
      <c r="H1" s="555" t="s">
        <v>7</v>
      </c>
    </row>
    <row r="2" spans="1:8" ht="16.5" thickTop="1" thickBot="1">
      <c r="A2" s="560">
        <v>0</v>
      </c>
      <c r="B2" s="96" t="s">
        <v>8</v>
      </c>
      <c r="C2" s="561"/>
      <c r="D2" s="551" t="s">
        <v>9</v>
      </c>
      <c r="E2" s="556">
        <v>1</v>
      </c>
      <c r="F2" s="557" t="s">
        <v>10</v>
      </c>
      <c r="G2" s="547">
        <f>IF(OR(BUReporting[[#This Row],[Period]]=1,OR(BUReporting[[#This Row],[Period]]=2,OR(BUReporting[[#This Row],[Period]]=2,OR(BUReporting[[#This Row],[Period]]=4,OR(BUReporting[[#This Row],[Period]]=5,BUReporting[[#This Row],[Period]]=6))))),VLOOKUP(BUReporting[[#This Row],[Program]],'Program MW '!$A$9:$S$9,2,FALSE),VLOOKUP(BUReporting[[#This Row],[Program]],'Program MW '!$A$33:$S$33,2,FALSE))</f>
        <v>4</v>
      </c>
      <c r="H2" s="559">
        <f>IF(OR(BUReporting[[#This Row],[Period]]=1,OR(BUReporting[[#This Row],[Period]]=2,OR(BUReporting[[#This Row],[Period]]=3,OR(BUReporting[[#This Row],[Period]]=4,OR(BUReporting[[#This Row],[Period]]=5,BUReporting[[#This Row],[Period]]=6))))),VLOOKUP(BUReporting[[#This Row],[Program]],'Program MW '!$A$9:$S$9,3,FALSE),VLOOKUP(BUReporting[[#This Row],[Program]],'Program MW '!$A$33:$S$33,3,FALSE))</f>
        <v>0.64924000000000004</v>
      </c>
    </row>
    <row r="3" spans="1:8" ht="16.5" thickTop="1" thickBot="1">
      <c r="A3" s="548">
        <v>1</v>
      </c>
      <c r="B3" s="545" t="s">
        <v>11</v>
      </c>
      <c r="C3" s="561"/>
      <c r="D3" s="546" t="s">
        <v>9</v>
      </c>
      <c r="E3" s="556">
        <v>1</v>
      </c>
      <c r="F3" s="557" t="s">
        <v>10</v>
      </c>
      <c r="G3"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14325</v>
      </c>
      <c r="H3"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4" spans="1:8" ht="16.5" thickTop="1" thickBot="1">
      <c r="A4" s="548">
        <v>2</v>
      </c>
      <c r="B4" s="545" t="s">
        <v>12</v>
      </c>
      <c r="C4" s="561" t="s">
        <v>13</v>
      </c>
      <c r="D4" s="546" t="s">
        <v>9</v>
      </c>
      <c r="E4" s="556">
        <v>1</v>
      </c>
      <c r="F4" s="557" t="s">
        <v>10</v>
      </c>
      <c r="G4"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4"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5" spans="1:8" ht="16.5" thickTop="1" thickBot="1">
      <c r="A5" s="548">
        <v>3</v>
      </c>
      <c r="B5" s="545" t="s">
        <v>14</v>
      </c>
      <c r="C5" s="561"/>
      <c r="D5" s="546" t="s">
        <v>9</v>
      </c>
      <c r="E5" s="556">
        <v>1</v>
      </c>
      <c r="F5" s="557" t="s">
        <v>10</v>
      </c>
      <c r="G5"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v>
      </c>
      <c r="H5"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6" spans="1:8" ht="16.5" thickTop="1" thickBot="1">
      <c r="A6" s="548">
        <v>4</v>
      </c>
      <c r="B6" s="545" t="s">
        <v>15</v>
      </c>
      <c r="C6" s="561" t="s">
        <v>16</v>
      </c>
      <c r="D6" s="546" t="s">
        <v>9</v>
      </c>
      <c r="E6" s="556">
        <v>1</v>
      </c>
      <c r="F6" s="557" t="s">
        <v>10</v>
      </c>
      <c r="G6"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6"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7" spans="1:8" ht="16.5" thickTop="1" thickBot="1">
      <c r="A7" s="548">
        <v>5</v>
      </c>
      <c r="B7" s="546" t="s">
        <v>17</v>
      </c>
      <c r="C7" s="561" t="s">
        <v>18</v>
      </c>
      <c r="D7" s="546" t="s">
        <v>19</v>
      </c>
      <c r="E7" s="556">
        <v>1</v>
      </c>
      <c r="F7" s="557" t="s">
        <v>10</v>
      </c>
      <c r="G7"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19267</v>
      </c>
      <c r="H7"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8" spans="1:8" ht="16.5" thickTop="1" thickBot="1">
      <c r="A8" s="548">
        <v>6</v>
      </c>
      <c r="B8" s="546" t="s">
        <v>20</v>
      </c>
      <c r="C8" s="561" t="s">
        <v>18</v>
      </c>
      <c r="D8" s="546" t="s">
        <v>9</v>
      </c>
      <c r="E8" s="556">
        <v>1</v>
      </c>
      <c r="F8" s="557" t="s">
        <v>10</v>
      </c>
      <c r="G8"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1621</v>
      </c>
      <c r="H8"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9" spans="1:8" ht="16.5" thickTop="1" thickBot="1">
      <c r="A9" s="548">
        <v>7</v>
      </c>
      <c r="B9" s="546" t="s">
        <v>21</v>
      </c>
      <c r="C9" s="561" t="s">
        <v>22</v>
      </c>
      <c r="D9" s="546" t="s">
        <v>19</v>
      </c>
      <c r="E9" s="556">
        <v>1</v>
      </c>
      <c r="F9" s="557" t="s">
        <v>10</v>
      </c>
      <c r="G9"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8709</v>
      </c>
      <c r="H9"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0" spans="1:8" ht="16.5" thickTop="1" thickBot="1">
      <c r="A10" s="548">
        <v>8</v>
      </c>
      <c r="B10" s="546" t="s">
        <v>23</v>
      </c>
      <c r="C10" s="561" t="s">
        <v>22</v>
      </c>
      <c r="D10" s="546" t="s">
        <v>9</v>
      </c>
      <c r="E10" s="556">
        <v>1</v>
      </c>
      <c r="F10" s="557" t="s">
        <v>10</v>
      </c>
      <c r="G10"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3148</v>
      </c>
      <c r="H10"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1" spans="1:8" ht="16.5" thickTop="1" thickBot="1">
      <c r="A11" s="548">
        <v>9</v>
      </c>
      <c r="B11" s="546" t="s">
        <v>24</v>
      </c>
      <c r="C11" s="561"/>
      <c r="D11" s="546" t="s">
        <v>9</v>
      </c>
      <c r="E11" s="556">
        <v>1</v>
      </c>
      <c r="F11" s="557" t="s">
        <v>10</v>
      </c>
      <c r="G11"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11"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2" spans="1:8" ht="16.5" thickTop="1" thickBot="1">
      <c r="A12" s="548">
        <v>10</v>
      </c>
      <c r="B12" s="546" t="s">
        <v>25</v>
      </c>
      <c r="C12" s="561"/>
      <c r="D12" s="546" t="s">
        <v>9</v>
      </c>
      <c r="E12" s="556">
        <v>1</v>
      </c>
      <c r="F12" s="557" t="s">
        <v>10</v>
      </c>
      <c r="G12"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12"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3" spans="1:8" ht="18" customHeight="1" thickTop="1" thickBot="1">
      <c r="A13" s="548">
        <v>11</v>
      </c>
      <c r="B13" s="546" t="s">
        <v>26</v>
      </c>
      <c r="C13" s="561"/>
      <c r="D13" s="546" t="s">
        <v>9</v>
      </c>
      <c r="E13" s="556">
        <v>1</v>
      </c>
      <c r="F13" s="557" t="s">
        <v>10</v>
      </c>
      <c r="G13"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113358</v>
      </c>
      <c r="H13"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1.13358</v>
      </c>
    </row>
    <row r="14" spans="1:8" ht="14.25" thickTop="1" thickBot="1">
      <c r="A14" s="548">
        <v>12</v>
      </c>
      <c r="B14" s="545" t="s">
        <v>27</v>
      </c>
      <c r="C14" s="545"/>
      <c r="D14" s="546" t="s">
        <v>19</v>
      </c>
      <c r="E14" s="556">
        <v>1</v>
      </c>
      <c r="F14" s="557" t="s">
        <v>10</v>
      </c>
      <c r="G14" s="547">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14845</v>
      </c>
      <c r="H14" s="559">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0.59379999999999999</v>
      </c>
    </row>
    <row r="15" spans="1:8" ht="16.5" thickTop="1" thickBot="1">
      <c r="A15" s="560">
        <v>0</v>
      </c>
      <c r="B15" s="96" t="s">
        <v>8</v>
      </c>
      <c r="C15" s="561"/>
      <c r="D15" s="551" t="s">
        <v>9</v>
      </c>
      <c r="E15" s="556">
        <v>2</v>
      </c>
      <c r="F15" s="557" t="s">
        <v>28</v>
      </c>
      <c r="G15" s="547">
        <f>IF(OR(BUReporting[[#This Row],[Period]]=1,OR(BUReporting[[#This Row],[Period]]=2,OR(BUReporting[[#This Row],[Period]]=2,OR(BUReporting[[#This Row],[Period]]=4,OR(BUReporting[[#This Row],[Period]]=5,BUReporting[[#This Row],[Period]]=6))))),VLOOKUP(BUReporting[[#This Row],[Program]],'Program MW '!$A$9:$S$9,5,FALSE),VLOOKUP(BUReporting[[#This Row],[Program]],'Program MW '!$A$33:$S$33,5,FALSE))</f>
        <v>0</v>
      </c>
      <c r="H15" s="559">
        <f>IF(OR(BUReporting[[#This Row],[Period]]=1,OR(BUReporting[[#This Row],[Period]]=2,OR(BUReporting[[#This Row],[Period]]=3,OR(BUReporting[[#This Row],[Period]]=4,OR(BUReporting[[#This Row],[Period]]=5,BUReporting[[#This Row],[Period]]=6))))),VLOOKUP(BUReporting[[#This Row],[Program]],'Program MW '!$A$9:$S$9,6,FALSE),VLOOKUP(BUReporting[[#This Row],[Program]],'Program MW '!$A$33:$S$33,6,FALSE))</f>
        <v>0</v>
      </c>
    </row>
    <row r="16" spans="1:8" ht="16.5" thickTop="1" thickBot="1">
      <c r="A16" s="548">
        <v>1</v>
      </c>
      <c r="B16" s="546" t="s">
        <v>11</v>
      </c>
      <c r="C16" s="561"/>
      <c r="D16" s="546" t="s">
        <v>9</v>
      </c>
      <c r="E16" s="549">
        <v>2</v>
      </c>
      <c r="F16" s="558" t="s">
        <v>28</v>
      </c>
      <c r="G16"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6"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7" spans="1:8" ht="16.5" thickTop="1" thickBot="1">
      <c r="A17" s="548">
        <v>2</v>
      </c>
      <c r="B17" s="546" t="s">
        <v>12</v>
      </c>
      <c r="C17" s="561" t="s">
        <v>13</v>
      </c>
      <c r="D17" s="546" t="s">
        <v>9</v>
      </c>
      <c r="E17" s="549">
        <v>2</v>
      </c>
      <c r="F17" s="558" t="s">
        <v>28</v>
      </c>
      <c r="G17"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7"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8" spans="1:8" ht="16.5" thickTop="1" thickBot="1">
      <c r="A18" s="548">
        <v>3</v>
      </c>
      <c r="B18" s="546" t="s">
        <v>14</v>
      </c>
      <c r="C18" s="561"/>
      <c r="D18" s="546" t="s">
        <v>9</v>
      </c>
      <c r="E18" s="549">
        <v>2</v>
      </c>
      <c r="F18" s="558" t="s">
        <v>28</v>
      </c>
      <c r="G18"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8"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9" spans="1:8" ht="16.5" thickTop="1" thickBot="1">
      <c r="A19" s="548">
        <v>4</v>
      </c>
      <c r="B19" s="546" t="s">
        <v>15</v>
      </c>
      <c r="C19" s="561" t="s">
        <v>16</v>
      </c>
      <c r="D19" s="546" t="s">
        <v>9</v>
      </c>
      <c r="E19" s="549">
        <v>2</v>
      </c>
      <c r="F19" s="558" t="s">
        <v>28</v>
      </c>
      <c r="G19"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9"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0" spans="1:8" ht="16.5" thickTop="1" thickBot="1">
      <c r="A20" s="548">
        <v>5</v>
      </c>
      <c r="B20" s="546" t="s">
        <v>17</v>
      </c>
      <c r="C20" s="561" t="s">
        <v>18</v>
      </c>
      <c r="D20" s="546" t="s">
        <v>19</v>
      </c>
      <c r="E20" s="549">
        <v>2</v>
      </c>
      <c r="F20" s="558" t="s">
        <v>28</v>
      </c>
      <c r="G20"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0"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1" spans="1:8" ht="16.5" thickTop="1" thickBot="1">
      <c r="A21" s="548">
        <v>6</v>
      </c>
      <c r="B21" s="546" t="s">
        <v>20</v>
      </c>
      <c r="C21" s="561" t="s">
        <v>18</v>
      </c>
      <c r="D21" s="546" t="s">
        <v>9</v>
      </c>
      <c r="E21" s="549">
        <v>2</v>
      </c>
      <c r="F21" s="558" t="s">
        <v>28</v>
      </c>
      <c r="G21"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1"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2" spans="1:8" ht="16.5" thickTop="1" thickBot="1">
      <c r="A22" s="548">
        <v>7</v>
      </c>
      <c r="B22" s="546" t="s">
        <v>21</v>
      </c>
      <c r="C22" s="561" t="s">
        <v>22</v>
      </c>
      <c r="D22" s="546" t="s">
        <v>19</v>
      </c>
      <c r="E22" s="549">
        <v>2</v>
      </c>
      <c r="F22" s="558" t="s">
        <v>28</v>
      </c>
      <c r="G22"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2"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3" spans="1:8" ht="16.5" thickTop="1" thickBot="1">
      <c r="A23" s="548">
        <v>8</v>
      </c>
      <c r="B23" s="546" t="s">
        <v>23</v>
      </c>
      <c r="C23" s="561" t="s">
        <v>22</v>
      </c>
      <c r="D23" s="546" t="s">
        <v>9</v>
      </c>
      <c r="E23" s="549">
        <v>2</v>
      </c>
      <c r="F23" s="558" t="s">
        <v>28</v>
      </c>
      <c r="G23"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3"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4" spans="1:8" ht="16.5" thickTop="1" thickBot="1">
      <c r="A24" s="548">
        <v>9</v>
      </c>
      <c r="B24" s="546" t="s">
        <v>24</v>
      </c>
      <c r="C24" s="561"/>
      <c r="D24" s="546" t="s">
        <v>9</v>
      </c>
      <c r="E24" s="549">
        <v>2</v>
      </c>
      <c r="F24" s="558" t="s">
        <v>28</v>
      </c>
      <c r="G24"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4"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5" spans="1:8" ht="16.5" thickTop="1" thickBot="1">
      <c r="A25" s="548">
        <v>10</v>
      </c>
      <c r="B25" s="546" t="s">
        <v>25</v>
      </c>
      <c r="C25" s="561"/>
      <c r="D25" s="546" t="s">
        <v>9</v>
      </c>
      <c r="E25" s="549">
        <v>2</v>
      </c>
      <c r="F25" s="558" t="s">
        <v>28</v>
      </c>
      <c r="G25"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5"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6" spans="1:8" ht="16.5" thickTop="1" thickBot="1">
      <c r="A26" s="548">
        <v>11</v>
      </c>
      <c r="B26" s="546" t="s">
        <v>26</v>
      </c>
      <c r="C26" s="561"/>
      <c r="D26" s="546" t="s">
        <v>9</v>
      </c>
      <c r="E26" s="549">
        <v>2</v>
      </c>
      <c r="F26" s="558" t="s">
        <v>28</v>
      </c>
      <c r="G26"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6"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7" spans="1:8" ht="14.25" thickTop="1" thickBot="1">
      <c r="A27" s="548">
        <v>12</v>
      </c>
      <c r="B27" s="546" t="s">
        <v>27</v>
      </c>
      <c r="C27" s="545"/>
      <c r="D27" s="546" t="s">
        <v>19</v>
      </c>
      <c r="E27" s="549">
        <v>2</v>
      </c>
      <c r="F27" s="558" t="s">
        <v>28</v>
      </c>
      <c r="G27" s="547">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7" s="559">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8" spans="1:8" ht="16.5" thickTop="1" thickBot="1">
      <c r="A28" s="560">
        <v>0</v>
      </c>
      <c r="B28" s="96" t="s">
        <v>8</v>
      </c>
      <c r="C28" s="561"/>
      <c r="D28" s="551" t="s">
        <v>9</v>
      </c>
      <c r="E28" s="556">
        <v>3</v>
      </c>
      <c r="F28" s="557" t="s">
        <v>29</v>
      </c>
      <c r="G28" s="547">
        <f>IF(OR(BUReporting[[#This Row],[Period]]=1,OR(BUReporting[[#This Row],[Period]]=2,OR(BUReporting[[#This Row],[Period]]=2,OR(BUReporting[[#This Row],[Period]]=4,OR(BUReporting[[#This Row],[Period]]=5,BUReporting[[#This Row],[Period]]=6))))),VLOOKUP(BUReporting[[#This Row],[Program]],'Program MW '!$A$9:$S$9,8,FALSE),VLOOKUP(BUReporting[[#This Row],[Program]],'Program MW '!$A$33:$S$33,8,FALSE))</f>
        <v>0</v>
      </c>
      <c r="H28" s="559">
        <f>IF(OR(BUReporting[[#This Row],[Period]]=1,OR(BUReporting[[#This Row],[Period]]=2,OR(BUReporting[[#This Row],[Period]]=3,OR(BUReporting[[#This Row],[Period]]=4,OR(BUReporting[[#This Row],[Period]]=5,BUReporting[[#This Row],[Period]]=6))))),VLOOKUP(BUReporting[[#This Row],[Program]],'Program MW '!$A$9:$S$9,9,FALSE),VLOOKUP(BUReporting[[#This Row],[Program]],'Program MW '!$A$33:$S$33,9,FALSE))</f>
        <v>0</v>
      </c>
    </row>
    <row r="29" spans="1:8" ht="16.5" thickTop="1" thickBot="1">
      <c r="A29" s="548">
        <v>1</v>
      </c>
      <c r="B29" s="546" t="s">
        <v>11</v>
      </c>
      <c r="C29" s="561"/>
      <c r="D29" s="546" t="s">
        <v>9</v>
      </c>
      <c r="E29" s="549">
        <v>3</v>
      </c>
      <c r="F29" s="558" t="s">
        <v>29</v>
      </c>
      <c r="G29"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29"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0" spans="1:8" ht="16.5" thickTop="1" thickBot="1">
      <c r="A30" s="548">
        <v>2</v>
      </c>
      <c r="B30" s="546" t="s">
        <v>12</v>
      </c>
      <c r="C30" s="561" t="s">
        <v>13</v>
      </c>
      <c r="D30" s="546" t="s">
        <v>9</v>
      </c>
      <c r="E30" s="549">
        <v>3</v>
      </c>
      <c r="F30" s="558" t="s">
        <v>29</v>
      </c>
      <c r="G30"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0"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1" spans="1:8" ht="16.5" thickTop="1" thickBot="1">
      <c r="A31" s="548">
        <v>3</v>
      </c>
      <c r="B31" s="546" t="s">
        <v>14</v>
      </c>
      <c r="C31" s="561"/>
      <c r="D31" s="546" t="s">
        <v>9</v>
      </c>
      <c r="E31" s="549">
        <v>3</v>
      </c>
      <c r="F31" s="558" t="s">
        <v>29</v>
      </c>
      <c r="G31"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1"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2" spans="1:8" ht="16.5" thickTop="1" thickBot="1">
      <c r="A32" s="548">
        <v>4</v>
      </c>
      <c r="B32" s="546" t="s">
        <v>15</v>
      </c>
      <c r="C32" s="561" t="s">
        <v>16</v>
      </c>
      <c r="D32" s="546" t="s">
        <v>9</v>
      </c>
      <c r="E32" s="549">
        <v>3</v>
      </c>
      <c r="F32" s="558" t="s">
        <v>29</v>
      </c>
      <c r="G32"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2"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3" spans="1:8" ht="16.5" thickTop="1" thickBot="1">
      <c r="A33" s="548">
        <v>5</v>
      </c>
      <c r="B33" s="546" t="s">
        <v>17</v>
      </c>
      <c r="C33" s="561" t="s">
        <v>18</v>
      </c>
      <c r="D33" s="546" t="s">
        <v>19</v>
      </c>
      <c r="E33" s="549">
        <v>3</v>
      </c>
      <c r="F33" s="558" t="s">
        <v>29</v>
      </c>
      <c r="G33"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3"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4" spans="1:8" ht="16.5" thickTop="1" thickBot="1">
      <c r="A34" s="548">
        <v>6</v>
      </c>
      <c r="B34" s="546" t="s">
        <v>20</v>
      </c>
      <c r="C34" s="561" t="s">
        <v>18</v>
      </c>
      <c r="D34" s="546" t="s">
        <v>9</v>
      </c>
      <c r="E34" s="549">
        <v>3</v>
      </c>
      <c r="F34" s="558" t="s">
        <v>29</v>
      </c>
      <c r="G34"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4"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5" spans="1:8" ht="16.5" thickTop="1" thickBot="1">
      <c r="A35" s="548">
        <v>7</v>
      </c>
      <c r="B35" s="546" t="s">
        <v>21</v>
      </c>
      <c r="C35" s="561" t="s">
        <v>22</v>
      </c>
      <c r="D35" s="546" t="s">
        <v>19</v>
      </c>
      <c r="E35" s="549">
        <v>3</v>
      </c>
      <c r="F35" s="558" t="s">
        <v>29</v>
      </c>
      <c r="G35"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5"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6" spans="1:8" ht="16.5" thickTop="1" thickBot="1">
      <c r="A36" s="548">
        <v>8</v>
      </c>
      <c r="B36" s="546" t="s">
        <v>23</v>
      </c>
      <c r="C36" s="561" t="s">
        <v>22</v>
      </c>
      <c r="D36" s="546" t="s">
        <v>9</v>
      </c>
      <c r="E36" s="549">
        <v>3</v>
      </c>
      <c r="F36" s="558" t="s">
        <v>29</v>
      </c>
      <c r="G36"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6"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7" spans="1:8" ht="16.5" thickTop="1" thickBot="1">
      <c r="A37" s="548">
        <v>9</v>
      </c>
      <c r="B37" s="546" t="s">
        <v>24</v>
      </c>
      <c r="C37" s="561"/>
      <c r="D37" s="546" t="s">
        <v>9</v>
      </c>
      <c r="E37" s="549">
        <v>3</v>
      </c>
      <c r="F37" s="558" t="s">
        <v>29</v>
      </c>
      <c r="G37"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7"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8" spans="1:8" ht="16.5" thickTop="1" thickBot="1">
      <c r="A38" s="548">
        <v>10</v>
      </c>
      <c r="B38" s="546" t="s">
        <v>25</v>
      </c>
      <c r="C38" s="561"/>
      <c r="D38" s="546" t="s">
        <v>9</v>
      </c>
      <c r="E38" s="549">
        <v>3</v>
      </c>
      <c r="F38" s="558" t="s">
        <v>29</v>
      </c>
      <c r="G38"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8"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9" spans="1:8" ht="16.5" thickTop="1" thickBot="1">
      <c r="A39" s="548">
        <v>11</v>
      </c>
      <c r="B39" s="546" t="s">
        <v>26</v>
      </c>
      <c r="C39" s="561"/>
      <c r="D39" s="546" t="s">
        <v>9</v>
      </c>
      <c r="E39" s="549">
        <v>3</v>
      </c>
      <c r="F39" s="558" t="s">
        <v>29</v>
      </c>
      <c r="G39"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9"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40" spans="1:8" ht="14.25" thickTop="1" thickBot="1">
      <c r="A40" s="548">
        <v>12</v>
      </c>
      <c r="B40" s="546" t="s">
        <v>27</v>
      </c>
      <c r="C40" s="545"/>
      <c r="D40" s="546" t="s">
        <v>19</v>
      </c>
      <c r="E40" s="549">
        <v>3</v>
      </c>
      <c r="F40" s="558" t="s">
        <v>29</v>
      </c>
      <c r="G40"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40" s="559">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41" spans="1:8" ht="16.5" thickTop="1" thickBot="1">
      <c r="A41" s="560">
        <v>0</v>
      </c>
      <c r="B41" s="96" t="s">
        <v>8</v>
      </c>
      <c r="C41" s="561"/>
      <c r="D41" s="551" t="s">
        <v>9</v>
      </c>
      <c r="E41" s="556">
        <v>4</v>
      </c>
      <c r="F41" s="557" t="s">
        <v>30</v>
      </c>
      <c r="G41" s="547">
        <f>IF(OR(BUReporting[[#This Row],[Period]]=1,OR(BUReporting[[#This Row],[Period]]=2,OR(BUReporting[[#This Row],[Period]]=2,OR(BUReporting[[#This Row],[Period]]=4,OR(BUReporting[[#This Row],[Period]]=5,BUReporting[[#This Row],[Period]]=6))))),VLOOKUP(BUReporting[[#This Row],[Program]],'Program MW '!$A$9:$S$9,11,FALSE),VLOOKUP(BUReporting[[#This Row],[Program]],'Program MW '!$A$33:$S$33,11,FALSE))</f>
        <v>0</v>
      </c>
      <c r="H41" s="559">
        <f>IF(OR(BUReporting[[#This Row],[Period]]=1,OR(BUReporting[[#This Row],[Period]]=2,OR(BUReporting[[#This Row],[Period]]=3,OR(BUReporting[[#This Row],[Period]]=4,OR(BUReporting[[#This Row],[Period]]=5,BUReporting[[#This Row],[Period]]=6))))),VLOOKUP(BUReporting[[#This Row],[Program]],'Program MW '!$A$9:$S$9,12,FALSE),VLOOKUP(BUReporting[[#This Row],[Program]],'Program MW '!$A$33:$S$33,12,FALSE))</f>
        <v>0</v>
      </c>
    </row>
    <row r="42" spans="1:8" ht="16.5" thickTop="1" thickBot="1">
      <c r="A42" s="548">
        <v>1</v>
      </c>
      <c r="B42" s="546" t="s">
        <v>11</v>
      </c>
      <c r="C42" s="561"/>
      <c r="D42" s="546" t="s">
        <v>9</v>
      </c>
      <c r="E42" s="549">
        <v>4</v>
      </c>
      <c r="F42" s="558" t="s">
        <v>30</v>
      </c>
      <c r="G42"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2"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3" spans="1:8" ht="16.5" thickTop="1" thickBot="1">
      <c r="A43" s="548">
        <v>2</v>
      </c>
      <c r="B43" s="546" t="s">
        <v>12</v>
      </c>
      <c r="C43" s="561" t="s">
        <v>13</v>
      </c>
      <c r="D43" s="546" t="s">
        <v>9</v>
      </c>
      <c r="E43" s="549">
        <v>4</v>
      </c>
      <c r="F43" s="558" t="s">
        <v>30</v>
      </c>
      <c r="G43"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3"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4" spans="1:8" ht="16.5" thickTop="1" thickBot="1">
      <c r="A44" s="548">
        <v>3</v>
      </c>
      <c r="B44" s="546" t="s">
        <v>14</v>
      </c>
      <c r="C44" s="561"/>
      <c r="D44" s="546" t="s">
        <v>9</v>
      </c>
      <c r="E44" s="549">
        <v>4</v>
      </c>
      <c r="F44" s="558" t="s">
        <v>30</v>
      </c>
      <c r="G44"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4"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5" spans="1:8" ht="16.5" thickTop="1" thickBot="1">
      <c r="A45" s="548">
        <v>4</v>
      </c>
      <c r="B45" s="546" t="s">
        <v>15</v>
      </c>
      <c r="C45" s="561" t="s">
        <v>16</v>
      </c>
      <c r="D45" s="546" t="s">
        <v>9</v>
      </c>
      <c r="E45" s="549">
        <v>4</v>
      </c>
      <c r="F45" s="558" t="s">
        <v>30</v>
      </c>
      <c r="G45"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5"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6" spans="1:8" ht="16.5" thickTop="1" thickBot="1">
      <c r="A46" s="548">
        <v>5</v>
      </c>
      <c r="B46" s="546" t="s">
        <v>17</v>
      </c>
      <c r="C46" s="561" t="s">
        <v>18</v>
      </c>
      <c r="D46" s="546" t="s">
        <v>19</v>
      </c>
      <c r="E46" s="549">
        <v>4</v>
      </c>
      <c r="F46" s="558" t="s">
        <v>30</v>
      </c>
      <c r="G46"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6"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7" spans="1:8" ht="16.5" thickTop="1" thickBot="1">
      <c r="A47" s="548">
        <v>6</v>
      </c>
      <c r="B47" s="546" t="s">
        <v>20</v>
      </c>
      <c r="C47" s="561" t="s">
        <v>18</v>
      </c>
      <c r="D47" s="546" t="s">
        <v>9</v>
      </c>
      <c r="E47" s="549">
        <v>4</v>
      </c>
      <c r="F47" s="558" t="s">
        <v>30</v>
      </c>
      <c r="G47"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7"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8" spans="1:8" ht="16.5" thickTop="1" thickBot="1">
      <c r="A48" s="548">
        <v>7</v>
      </c>
      <c r="B48" s="546" t="s">
        <v>21</v>
      </c>
      <c r="C48" s="561" t="s">
        <v>22</v>
      </c>
      <c r="D48" s="546" t="s">
        <v>19</v>
      </c>
      <c r="E48" s="549">
        <v>4</v>
      </c>
      <c r="F48" s="558" t="s">
        <v>30</v>
      </c>
      <c r="G48"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8"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9" spans="1:8" ht="16.5" thickTop="1" thickBot="1">
      <c r="A49" s="548">
        <v>8</v>
      </c>
      <c r="B49" s="546" t="s">
        <v>23</v>
      </c>
      <c r="C49" s="561" t="s">
        <v>22</v>
      </c>
      <c r="D49" s="546" t="s">
        <v>9</v>
      </c>
      <c r="E49" s="549">
        <v>4</v>
      </c>
      <c r="F49" s="558" t="s">
        <v>30</v>
      </c>
      <c r="G49"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9"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0" spans="1:8" ht="16.5" thickTop="1" thickBot="1">
      <c r="A50" s="548">
        <v>9</v>
      </c>
      <c r="B50" s="546" t="s">
        <v>24</v>
      </c>
      <c r="C50" s="561"/>
      <c r="D50" s="546" t="s">
        <v>9</v>
      </c>
      <c r="E50" s="549">
        <v>4</v>
      </c>
      <c r="F50" s="558" t="s">
        <v>30</v>
      </c>
      <c r="G50"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0"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1" spans="1:8" ht="16.5" thickTop="1" thickBot="1">
      <c r="A51" s="548">
        <v>10</v>
      </c>
      <c r="B51" s="546" t="s">
        <v>25</v>
      </c>
      <c r="C51" s="561"/>
      <c r="D51" s="546" t="s">
        <v>9</v>
      </c>
      <c r="E51" s="549">
        <v>4</v>
      </c>
      <c r="F51" s="558" t="s">
        <v>30</v>
      </c>
      <c r="G51"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1"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2" spans="1:8" ht="16.5" thickTop="1" thickBot="1">
      <c r="A52" s="548">
        <v>11</v>
      </c>
      <c r="B52" s="546" t="s">
        <v>26</v>
      </c>
      <c r="C52" s="561"/>
      <c r="D52" s="546" t="s">
        <v>9</v>
      </c>
      <c r="E52" s="549">
        <v>4</v>
      </c>
      <c r="F52" s="558" t="s">
        <v>30</v>
      </c>
      <c r="G52"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2"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3" spans="1:8" ht="14.25" thickTop="1" thickBot="1">
      <c r="A53" s="548">
        <v>12</v>
      </c>
      <c r="B53" s="546" t="s">
        <v>27</v>
      </c>
      <c r="C53" s="545"/>
      <c r="D53" s="546" t="s">
        <v>19</v>
      </c>
      <c r="E53" s="549">
        <v>4</v>
      </c>
      <c r="F53" s="558" t="s">
        <v>30</v>
      </c>
      <c r="G53"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3" s="559">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4" spans="1:8" ht="16.5" thickTop="1" thickBot="1">
      <c r="A54" s="560">
        <v>0</v>
      </c>
      <c r="B54" s="96" t="s">
        <v>8</v>
      </c>
      <c r="C54" s="561"/>
      <c r="D54" s="551" t="s">
        <v>9</v>
      </c>
      <c r="E54" s="556">
        <v>5</v>
      </c>
      <c r="F54" s="557" t="s">
        <v>31</v>
      </c>
      <c r="G54" s="547">
        <f>IF(OR(BUReporting[[#This Row],[Period]]=1,OR(BUReporting[[#This Row],[Period]]=2,OR(BUReporting[[#This Row],[Period]]=2,OR(BUReporting[[#This Row],[Period]]=4,OR(BUReporting[[#This Row],[Period]]=5,BUReporting[[#This Row],[Period]]=6))))),VLOOKUP(BUReporting[[#This Row],[Program]],'Program MW '!$A$9:$S$9,14,FALSE),VLOOKUP(BUReporting[[#This Row],[Program]],'Program MW '!$A$33:$S$33,14,FALSE))</f>
        <v>0</v>
      </c>
      <c r="H54" s="559" t="str">
        <f>IF(OR(BUReporting[[#This Row],[Period]]=1,OR(BUReporting[[#This Row],[Period]]=2,OR(BUReporting[[#This Row],[Period]]=3,OR(BUReporting[[#This Row],[Period]]=4,OR(BUReporting[[#This Row],[Period]]=5,BUReporting[[#This Row],[Period]]=6))))),VLOOKUP(BUReporting[[#This Row],[Program]],'Program MW '!$A$9:$S$9,15,FALSE),VLOOKUP(BUReporting[[#This Row],[Program]],'Program MW '!$A$33:$S$33,15,FALSE))</f>
        <v xml:space="preserve"> </v>
      </c>
    </row>
    <row r="55" spans="1:8" ht="16.5" thickTop="1" thickBot="1">
      <c r="A55" s="548">
        <v>1</v>
      </c>
      <c r="B55" s="546" t="s">
        <v>11</v>
      </c>
      <c r="C55" s="561"/>
      <c r="D55" s="546" t="s">
        <v>9</v>
      </c>
      <c r="E55" s="549">
        <v>5</v>
      </c>
      <c r="F55" s="558" t="s">
        <v>31</v>
      </c>
      <c r="G55"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5"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6" spans="1:8" ht="16.5" thickTop="1" thickBot="1">
      <c r="A56" s="548">
        <v>2</v>
      </c>
      <c r="B56" s="546" t="s">
        <v>12</v>
      </c>
      <c r="C56" s="561" t="s">
        <v>13</v>
      </c>
      <c r="D56" s="546" t="s">
        <v>9</v>
      </c>
      <c r="E56" s="549">
        <v>5</v>
      </c>
      <c r="F56" s="558" t="s">
        <v>31</v>
      </c>
      <c r="G56"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6"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7" spans="1:8" ht="16.5" thickTop="1" thickBot="1">
      <c r="A57" s="548">
        <v>3</v>
      </c>
      <c r="B57" s="546" t="s">
        <v>14</v>
      </c>
      <c r="C57" s="561"/>
      <c r="D57" s="546" t="s">
        <v>9</v>
      </c>
      <c r="E57" s="549">
        <v>5</v>
      </c>
      <c r="F57" s="558" t="s">
        <v>31</v>
      </c>
      <c r="G57"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7"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8" spans="1:8" ht="16.5" thickTop="1" thickBot="1">
      <c r="A58" s="548">
        <v>4</v>
      </c>
      <c r="B58" s="546" t="s">
        <v>15</v>
      </c>
      <c r="C58" s="561" t="s">
        <v>16</v>
      </c>
      <c r="D58" s="546" t="s">
        <v>9</v>
      </c>
      <c r="E58" s="549">
        <v>5</v>
      </c>
      <c r="F58" s="558" t="s">
        <v>31</v>
      </c>
      <c r="G58"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8"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9" spans="1:8" ht="16.5" thickTop="1" thickBot="1">
      <c r="A59" s="548">
        <v>5</v>
      </c>
      <c r="B59" s="546" t="s">
        <v>17</v>
      </c>
      <c r="C59" s="561" t="s">
        <v>18</v>
      </c>
      <c r="D59" s="546" t="s">
        <v>19</v>
      </c>
      <c r="E59" s="549">
        <v>5</v>
      </c>
      <c r="F59" s="558" t="s">
        <v>31</v>
      </c>
      <c r="G59"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9"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0" spans="1:8" ht="16.5" thickTop="1" thickBot="1">
      <c r="A60" s="548">
        <v>6</v>
      </c>
      <c r="B60" s="546" t="s">
        <v>20</v>
      </c>
      <c r="C60" s="561" t="s">
        <v>18</v>
      </c>
      <c r="D60" s="546" t="s">
        <v>9</v>
      </c>
      <c r="E60" s="549">
        <v>5</v>
      </c>
      <c r="F60" s="558" t="s">
        <v>31</v>
      </c>
      <c r="G60"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0"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1" spans="1:8" ht="16.5" thickTop="1" thickBot="1">
      <c r="A61" s="548">
        <v>7</v>
      </c>
      <c r="B61" s="546" t="s">
        <v>21</v>
      </c>
      <c r="C61" s="561" t="s">
        <v>22</v>
      </c>
      <c r="D61" s="546" t="s">
        <v>19</v>
      </c>
      <c r="E61" s="549">
        <v>5</v>
      </c>
      <c r="F61" s="558" t="s">
        <v>31</v>
      </c>
      <c r="G61"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1"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2" spans="1:8" ht="16.5" thickTop="1" thickBot="1">
      <c r="A62" s="548">
        <v>8</v>
      </c>
      <c r="B62" s="546" t="s">
        <v>23</v>
      </c>
      <c r="C62" s="561" t="s">
        <v>22</v>
      </c>
      <c r="D62" s="546" t="s">
        <v>9</v>
      </c>
      <c r="E62" s="549">
        <v>5</v>
      </c>
      <c r="F62" s="558" t="s">
        <v>31</v>
      </c>
      <c r="G62"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2"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3" spans="1:8" ht="16.5" thickTop="1" thickBot="1">
      <c r="A63" s="548">
        <v>9</v>
      </c>
      <c r="B63" s="546" t="s">
        <v>24</v>
      </c>
      <c r="C63" s="561"/>
      <c r="D63" s="546" t="s">
        <v>9</v>
      </c>
      <c r="E63" s="549">
        <v>5</v>
      </c>
      <c r="F63" s="558" t="s">
        <v>31</v>
      </c>
      <c r="G63"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3"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4" spans="1:8" ht="16.5" thickTop="1" thickBot="1">
      <c r="A64" s="548">
        <v>10</v>
      </c>
      <c r="B64" s="546" t="s">
        <v>25</v>
      </c>
      <c r="C64" s="561"/>
      <c r="D64" s="546" t="s">
        <v>9</v>
      </c>
      <c r="E64" s="549">
        <v>5</v>
      </c>
      <c r="F64" s="558" t="s">
        <v>31</v>
      </c>
      <c r="G64"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4"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5" spans="1:8" ht="16.5" thickTop="1" thickBot="1">
      <c r="A65" s="548">
        <v>11</v>
      </c>
      <c r="B65" s="546" t="s">
        <v>26</v>
      </c>
      <c r="C65" s="561"/>
      <c r="D65" s="546" t="s">
        <v>9</v>
      </c>
      <c r="E65" s="549">
        <v>5</v>
      </c>
      <c r="F65" s="558" t="s">
        <v>31</v>
      </c>
      <c r="G65"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5"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6" spans="1:8" ht="14.25" thickTop="1" thickBot="1">
      <c r="A66" s="548">
        <v>12</v>
      </c>
      <c r="B66" s="546" t="s">
        <v>27</v>
      </c>
      <c r="C66" s="545"/>
      <c r="D66" s="546" t="s">
        <v>19</v>
      </c>
      <c r="E66" s="549">
        <v>5</v>
      </c>
      <c r="F66" s="558" t="s">
        <v>31</v>
      </c>
      <c r="G66"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6" s="559">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7" spans="1:8" ht="16.5" thickTop="1" thickBot="1">
      <c r="A67" s="560">
        <v>0</v>
      </c>
      <c r="B67" s="96" t="s">
        <v>8</v>
      </c>
      <c r="C67" s="561"/>
      <c r="D67" s="551" t="s">
        <v>9</v>
      </c>
      <c r="E67" s="556">
        <v>6</v>
      </c>
      <c r="F67" s="557" t="s">
        <v>32</v>
      </c>
      <c r="G67" s="547">
        <f>IF(OR(BUReporting[[#This Row],[Period]]=1,OR(BUReporting[[#This Row],[Period]]=2,OR(BUReporting[[#This Row],[Period]]=2,OR(BUReporting[[#This Row],[Period]]=4,OR(BUReporting[[#This Row],[Period]]=5,BUReporting[[#This Row],[Period]]=6))))),VLOOKUP(BUReporting[[#This Row],[Program]],'Program MW '!$A$9:$S$9,17,FALSE),VLOOKUP(BUReporting[[#This Row],[Program]],'Program MW '!$A$33:$S$33,17,FALSE))</f>
        <v>0</v>
      </c>
      <c r="H67" s="559" t="str">
        <f>IF(OR(BUReporting[[#This Row],[Period]]=1,OR(BUReporting[[#This Row],[Period]]=2,OR(BUReporting[[#This Row],[Period]]=3,OR(BUReporting[[#This Row],[Period]]=4,OR(BUReporting[[#This Row],[Period]]=5,BUReporting[[#This Row],[Period]]=6))))),VLOOKUP(BUReporting[[#This Row],[Program]],'Program MW '!$A$9:$S$9,18,FALSE),VLOOKUP(BUReporting[[#This Row],[Program]],'Program MW '!$A$33:$S$33,18,FALSE))</f>
        <v xml:space="preserve"> </v>
      </c>
    </row>
    <row r="68" spans="1:8" ht="16.5" thickTop="1" thickBot="1">
      <c r="A68" s="548">
        <v>1</v>
      </c>
      <c r="B68" s="546" t="s">
        <v>11</v>
      </c>
      <c r="C68" s="561"/>
      <c r="D68" s="546" t="s">
        <v>9</v>
      </c>
      <c r="E68" s="549">
        <v>6</v>
      </c>
      <c r="F68" s="558" t="s">
        <v>32</v>
      </c>
      <c r="G68"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68"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69" spans="1:8" ht="16.5" thickTop="1" thickBot="1">
      <c r="A69" s="548">
        <v>2</v>
      </c>
      <c r="B69" s="546" t="s">
        <v>12</v>
      </c>
      <c r="C69" s="561" t="s">
        <v>13</v>
      </c>
      <c r="D69" s="546" t="s">
        <v>9</v>
      </c>
      <c r="E69" s="549">
        <v>6</v>
      </c>
      <c r="F69" s="558" t="s">
        <v>32</v>
      </c>
      <c r="G69"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69"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0" spans="1:8" ht="16.5" thickTop="1" thickBot="1">
      <c r="A70" s="548">
        <v>3</v>
      </c>
      <c r="B70" s="546" t="s">
        <v>14</v>
      </c>
      <c r="C70" s="561"/>
      <c r="D70" s="546" t="s">
        <v>9</v>
      </c>
      <c r="E70" s="549">
        <v>6</v>
      </c>
      <c r="F70" s="558" t="s">
        <v>32</v>
      </c>
      <c r="G70"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0"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1" spans="1:8" ht="16.5" thickTop="1" thickBot="1">
      <c r="A71" s="548">
        <v>4</v>
      </c>
      <c r="B71" s="546" t="s">
        <v>15</v>
      </c>
      <c r="C71" s="561" t="s">
        <v>16</v>
      </c>
      <c r="D71" s="546" t="s">
        <v>9</v>
      </c>
      <c r="E71" s="549">
        <v>6</v>
      </c>
      <c r="F71" s="558" t="s">
        <v>32</v>
      </c>
      <c r="G71"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1"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2" spans="1:8" ht="16.5" thickTop="1" thickBot="1">
      <c r="A72" s="548">
        <v>5</v>
      </c>
      <c r="B72" s="546" t="s">
        <v>17</v>
      </c>
      <c r="C72" s="561" t="s">
        <v>18</v>
      </c>
      <c r="D72" s="546" t="s">
        <v>19</v>
      </c>
      <c r="E72" s="549">
        <v>6</v>
      </c>
      <c r="F72" s="558" t="s">
        <v>32</v>
      </c>
      <c r="G72"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2"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3" spans="1:8" ht="16.5" thickTop="1" thickBot="1">
      <c r="A73" s="548">
        <v>6</v>
      </c>
      <c r="B73" s="546" t="s">
        <v>20</v>
      </c>
      <c r="C73" s="561" t="s">
        <v>18</v>
      </c>
      <c r="D73" s="546" t="s">
        <v>9</v>
      </c>
      <c r="E73" s="549">
        <v>6</v>
      </c>
      <c r="F73" s="558" t="s">
        <v>32</v>
      </c>
      <c r="G73"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3"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4" spans="1:8" ht="16.5" thickTop="1" thickBot="1">
      <c r="A74" s="548">
        <v>7</v>
      </c>
      <c r="B74" s="546" t="s">
        <v>21</v>
      </c>
      <c r="C74" s="561" t="s">
        <v>22</v>
      </c>
      <c r="D74" s="546" t="s">
        <v>19</v>
      </c>
      <c r="E74" s="549">
        <v>6</v>
      </c>
      <c r="F74" s="558" t="s">
        <v>32</v>
      </c>
      <c r="G74"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4"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5" spans="1:8" ht="16.5" thickTop="1" thickBot="1">
      <c r="A75" s="548">
        <v>8</v>
      </c>
      <c r="B75" s="546" t="s">
        <v>23</v>
      </c>
      <c r="C75" s="561" t="s">
        <v>22</v>
      </c>
      <c r="D75" s="546" t="s">
        <v>9</v>
      </c>
      <c r="E75" s="549">
        <v>6</v>
      </c>
      <c r="F75" s="558" t="s">
        <v>32</v>
      </c>
      <c r="G75"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5"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6" spans="1:8" ht="16.5" thickTop="1" thickBot="1">
      <c r="A76" s="548">
        <v>9</v>
      </c>
      <c r="B76" s="546" t="s">
        <v>24</v>
      </c>
      <c r="C76" s="561"/>
      <c r="D76" s="546" t="s">
        <v>9</v>
      </c>
      <c r="E76" s="549">
        <v>6</v>
      </c>
      <c r="F76" s="558" t="s">
        <v>32</v>
      </c>
      <c r="G76"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6"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7" spans="1:8" ht="16.5" thickTop="1" thickBot="1">
      <c r="A77" s="548">
        <v>10</v>
      </c>
      <c r="B77" s="546" t="s">
        <v>25</v>
      </c>
      <c r="C77" s="561"/>
      <c r="D77" s="546" t="s">
        <v>9</v>
      </c>
      <c r="E77" s="549">
        <v>6</v>
      </c>
      <c r="F77" s="558" t="s">
        <v>32</v>
      </c>
      <c r="G77"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7"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8" spans="1:8" ht="16.5" thickTop="1" thickBot="1">
      <c r="A78" s="548">
        <v>11</v>
      </c>
      <c r="B78" s="546" t="s">
        <v>26</v>
      </c>
      <c r="C78" s="561"/>
      <c r="D78" s="546" t="s">
        <v>9</v>
      </c>
      <c r="E78" s="549">
        <v>6</v>
      </c>
      <c r="F78" s="558" t="s">
        <v>32</v>
      </c>
      <c r="G78"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8"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9" spans="1:8" ht="14.25" thickTop="1" thickBot="1">
      <c r="A79" s="548">
        <v>12</v>
      </c>
      <c r="B79" s="546" t="s">
        <v>27</v>
      </c>
      <c r="C79" s="545"/>
      <c r="D79" s="546" t="s">
        <v>19</v>
      </c>
      <c r="E79" s="549">
        <v>6</v>
      </c>
      <c r="F79" s="558" t="s">
        <v>32</v>
      </c>
      <c r="G79"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9" s="559">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80" spans="1:8" ht="16.5" thickTop="1" thickBot="1">
      <c r="A80" s="560">
        <v>0</v>
      </c>
      <c r="B80" s="96" t="s">
        <v>8</v>
      </c>
      <c r="C80" s="561"/>
      <c r="D80" s="551" t="s">
        <v>9</v>
      </c>
      <c r="E80" s="556">
        <v>7</v>
      </c>
      <c r="F80" s="557" t="s">
        <v>33</v>
      </c>
      <c r="G80" s="547">
        <f>IF(OR(BUReporting[[#This Row],[Period]]=1,OR(BUReporting[[#This Row],[Period]]=2,OR(BUReporting[[#This Row],[Period]]=2,OR(BUReporting[[#This Row],[Period]]=4,OR(BUReporting[[#This Row],[Period]]=5,BUReporting[[#This Row],[Period]]=6))))),VLOOKUP(BUReporting[[#This Row],[Program]],'Program MW '!$A$9:$S$9,2,FALSE),VLOOKUP(BUReporting[[#This Row],[Program]],'Program MW '!$A$33:$S$33,2,FALSE))</f>
        <v>0</v>
      </c>
      <c r="H80" s="559">
        <f>IF(OR(BUReporting[[#This Row],[Period]]=1,OR(BUReporting[[#This Row],[Period]]=2,OR(BUReporting[[#This Row],[Period]]=3,OR(BUReporting[[#This Row],[Period]]=4,OR(BUReporting[[#This Row],[Period]]=5,BUReporting[[#This Row],[Period]]=6))))),VLOOKUP(BUReporting[[#This Row],[Program]],'Program MW '!$A$9:$S$9,3,FALSE),VLOOKUP(BUReporting[[#This Row],[Program]],'Program MW '!$A$33:$S$33,3,FALSE))</f>
        <v>0</v>
      </c>
    </row>
    <row r="81" spans="1:8" ht="16.5" thickTop="1" thickBot="1">
      <c r="A81" s="548">
        <v>1</v>
      </c>
      <c r="B81" s="546" t="s">
        <v>11</v>
      </c>
      <c r="C81" s="561"/>
      <c r="D81" s="546" t="s">
        <v>9</v>
      </c>
      <c r="E81" s="549">
        <v>7</v>
      </c>
      <c r="F81" s="558" t="s">
        <v>33</v>
      </c>
      <c r="G81"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1" s="559">
        <f>VLOOKUP(BUReporting[[#This Row],[Program]],'Program MW '!$A$36:$S$48,3,FALSE)</f>
        <v>0</v>
      </c>
    </row>
    <row r="82" spans="1:8" ht="16.5" thickTop="1" thickBot="1">
      <c r="A82" s="548">
        <v>2</v>
      </c>
      <c r="B82" s="546" t="s">
        <v>12</v>
      </c>
      <c r="C82" s="561" t="s">
        <v>13</v>
      </c>
      <c r="D82" s="546" t="s">
        <v>9</v>
      </c>
      <c r="E82" s="549">
        <v>7</v>
      </c>
      <c r="F82" s="558" t="s">
        <v>33</v>
      </c>
      <c r="G82"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2" s="559">
        <f>VLOOKUP(BUReporting[[#This Row],[Program]],'Program MW '!$A$36:$S$48,3,FALSE)</f>
        <v>0</v>
      </c>
    </row>
    <row r="83" spans="1:8" ht="16.5" thickTop="1" thickBot="1">
      <c r="A83" s="548">
        <v>3</v>
      </c>
      <c r="B83" s="546" t="s">
        <v>14</v>
      </c>
      <c r="C83" s="561"/>
      <c r="D83" s="546" t="s">
        <v>9</v>
      </c>
      <c r="E83" s="549">
        <v>7</v>
      </c>
      <c r="F83" s="558" t="s">
        <v>33</v>
      </c>
      <c r="G83"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3" s="559">
        <f>VLOOKUP(BUReporting[[#This Row],[Program]],'Program MW '!$A$36:$S$48,3,FALSE)</f>
        <v>0</v>
      </c>
    </row>
    <row r="84" spans="1:8" ht="16.5" thickTop="1" thickBot="1">
      <c r="A84" s="548">
        <v>4</v>
      </c>
      <c r="B84" s="546" t="s">
        <v>15</v>
      </c>
      <c r="C84" s="561" t="s">
        <v>16</v>
      </c>
      <c r="D84" s="546" t="s">
        <v>9</v>
      </c>
      <c r="E84" s="549">
        <v>7</v>
      </c>
      <c r="F84" s="558" t="s">
        <v>33</v>
      </c>
      <c r="G84"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4" s="559">
        <f>VLOOKUP(BUReporting[[#This Row],[Program]],'Program MW '!$A$36:$S$48,3,FALSE)</f>
        <v>0</v>
      </c>
    </row>
    <row r="85" spans="1:8" ht="16.5" thickTop="1" thickBot="1">
      <c r="A85" s="548">
        <v>5</v>
      </c>
      <c r="B85" s="546" t="s">
        <v>17</v>
      </c>
      <c r="C85" s="561" t="s">
        <v>18</v>
      </c>
      <c r="D85" s="546" t="s">
        <v>19</v>
      </c>
      <c r="E85" s="549">
        <v>7</v>
      </c>
      <c r="F85" s="558" t="s">
        <v>33</v>
      </c>
      <c r="G85"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5" s="559">
        <f>VLOOKUP(BUReporting[[#This Row],[Program]],'Program MW '!$A$36:$S$48,3,FALSE)</f>
        <v>0</v>
      </c>
    </row>
    <row r="86" spans="1:8" ht="16.5" thickTop="1" thickBot="1">
      <c r="A86" s="548">
        <v>6</v>
      </c>
      <c r="B86" s="546" t="s">
        <v>20</v>
      </c>
      <c r="C86" s="561" t="s">
        <v>18</v>
      </c>
      <c r="D86" s="546" t="s">
        <v>9</v>
      </c>
      <c r="E86" s="549">
        <v>7</v>
      </c>
      <c r="F86" s="558" t="s">
        <v>33</v>
      </c>
      <c r="G86"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6" s="559">
        <f>VLOOKUP(BUReporting[[#This Row],[Program]],'Program MW '!$A$36:$S$48,3,FALSE)</f>
        <v>0</v>
      </c>
    </row>
    <row r="87" spans="1:8" ht="16.5" thickTop="1" thickBot="1">
      <c r="A87" s="548">
        <v>7</v>
      </c>
      <c r="B87" s="546" t="s">
        <v>21</v>
      </c>
      <c r="C87" s="561" t="s">
        <v>22</v>
      </c>
      <c r="D87" s="546" t="s">
        <v>19</v>
      </c>
      <c r="E87" s="549">
        <v>7</v>
      </c>
      <c r="F87" s="558" t="s">
        <v>33</v>
      </c>
      <c r="G87"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7" s="559">
        <f>VLOOKUP(BUReporting[[#This Row],[Program]],'Program MW '!$A$36:$S$48,3,FALSE)</f>
        <v>0</v>
      </c>
    </row>
    <row r="88" spans="1:8" ht="16.5" thickTop="1" thickBot="1">
      <c r="A88" s="548">
        <v>8</v>
      </c>
      <c r="B88" s="546" t="s">
        <v>23</v>
      </c>
      <c r="C88" s="561" t="s">
        <v>22</v>
      </c>
      <c r="D88" s="546" t="s">
        <v>9</v>
      </c>
      <c r="E88" s="549">
        <v>7</v>
      </c>
      <c r="F88" s="558" t="s">
        <v>33</v>
      </c>
      <c r="G88"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8" s="559">
        <f>VLOOKUP(BUReporting[[#This Row],[Program]],'Program MW '!$A$36:$S$48,3,FALSE)</f>
        <v>0</v>
      </c>
    </row>
    <row r="89" spans="1:8" ht="16.5" thickTop="1" thickBot="1">
      <c r="A89" s="548">
        <v>9</v>
      </c>
      <c r="B89" s="546" t="s">
        <v>24</v>
      </c>
      <c r="C89" s="561"/>
      <c r="D89" s="546" t="s">
        <v>9</v>
      </c>
      <c r="E89" s="549">
        <v>7</v>
      </c>
      <c r="F89" s="558" t="s">
        <v>33</v>
      </c>
      <c r="G89"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9" s="559">
        <f>VLOOKUP(BUReporting[[#This Row],[Program]],'Program MW '!$A$36:$S$48,3,FALSE)</f>
        <v>0</v>
      </c>
    </row>
    <row r="90" spans="1:8" ht="16.5" thickTop="1" thickBot="1">
      <c r="A90" s="548">
        <v>10</v>
      </c>
      <c r="B90" s="546" t="s">
        <v>25</v>
      </c>
      <c r="C90" s="561"/>
      <c r="D90" s="546" t="s">
        <v>9</v>
      </c>
      <c r="E90" s="549">
        <v>7</v>
      </c>
      <c r="F90" s="558" t="s">
        <v>33</v>
      </c>
      <c r="G90"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0" s="559">
        <f>VLOOKUP(BUReporting[[#This Row],[Program]],'Program MW '!$A$36:$S$48,3,FALSE)</f>
        <v>0</v>
      </c>
    </row>
    <row r="91" spans="1:8" ht="16.5" thickTop="1" thickBot="1">
      <c r="A91" s="548">
        <v>11</v>
      </c>
      <c r="B91" s="546" t="s">
        <v>26</v>
      </c>
      <c r="C91" s="561"/>
      <c r="D91" s="546" t="s">
        <v>9</v>
      </c>
      <c r="E91" s="549">
        <v>7</v>
      </c>
      <c r="F91" s="558" t="s">
        <v>33</v>
      </c>
      <c r="G91"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1" s="559">
        <f>VLOOKUP(BUReporting[[#This Row],[Program]],'Program MW '!$A$36:$S$48,3,FALSE)</f>
        <v>0</v>
      </c>
    </row>
    <row r="92" spans="1:8" ht="14.25" thickTop="1" thickBot="1">
      <c r="A92" s="548">
        <v>12</v>
      </c>
      <c r="B92" s="546" t="s">
        <v>27</v>
      </c>
      <c r="C92" s="545"/>
      <c r="D92" s="546" t="s">
        <v>19</v>
      </c>
      <c r="E92" s="549">
        <v>7</v>
      </c>
      <c r="F92" s="558" t="s">
        <v>33</v>
      </c>
      <c r="G92" s="547">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2" s="559">
        <f>VLOOKUP(BUReporting[[#This Row],[Program]],'Program MW '!$A$36:$S$48,3,FALSE)</f>
        <v>0</v>
      </c>
    </row>
    <row r="93" spans="1:8" ht="16.5" thickTop="1" thickBot="1">
      <c r="A93" s="560">
        <v>0</v>
      </c>
      <c r="B93" s="96" t="s">
        <v>8</v>
      </c>
      <c r="C93" s="561"/>
      <c r="D93" s="551" t="s">
        <v>9</v>
      </c>
      <c r="E93" s="556">
        <v>8</v>
      </c>
      <c r="F93" s="557" t="s">
        <v>34</v>
      </c>
      <c r="G93" s="547">
        <f>IF(OR(BUReporting[[#This Row],[Period]]=1,OR(BUReporting[[#This Row],[Period]]=2,OR(BUReporting[[#This Row],[Period]]=2,OR(BUReporting[[#This Row],[Period]]=4,OR(BUReporting[[#This Row],[Period]]=5,BUReporting[[#This Row],[Period]]=6))))),VLOOKUP(BUReporting[[#This Row],[Program]],'Program MW '!$A$9:$S$9,5,FALSE),VLOOKUP(BUReporting[[#This Row],[Program]],'Program MW '!$A$33:$S$33,5,FALSE))</f>
        <v>0</v>
      </c>
      <c r="H93" s="559">
        <f>IF(OR(BUReporting[[#This Row],[Period]]=1,OR(BUReporting[[#This Row],[Period]]=2,OR(BUReporting[[#This Row],[Period]]=3,OR(BUReporting[[#This Row],[Period]]=4,OR(BUReporting[[#This Row],[Period]]=5,BUReporting[[#This Row],[Period]]=6))))),VLOOKUP(BUReporting[[#This Row],[Program]],'Program MW '!$A$9:$S$9,6,FALSE),VLOOKUP(BUReporting[[#This Row],[Program]],'Program MW '!$A$33:$S$33,6,FALSE))</f>
        <v>0</v>
      </c>
    </row>
    <row r="94" spans="1:8" ht="16.5" thickTop="1" thickBot="1">
      <c r="A94" s="548">
        <v>1</v>
      </c>
      <c r="B94" s="546" t="s">
        <v>11</v>
      </c>
      <c r="C94" s="561"/>
      <c r="D94" s="546" t="s">
        <v>9</v>
      </c>
      <c r="E94" s="549">
        <v>8</v>
      </c>
      <c r="F94" s="558" t="s">
        <v>34</v>
      </c>
      <c r="G94"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4" s="559">
        <f>VLOOKUP(BUReporting[[#This Row],[Program]],'Program MW '!$A$36:$S$48,6,FALSE)</f>
        <v>0</v>
      </c>
    </row>
    <row r="95" spans="1:8" ht="16.5" thickTop="1" thickBot="1">
      <c r="A95" s="548">
        <v>2</v>
      </c>
      <c r="B95" s="546" t="s">
        <v>12</v>
      </c>
      <c r="C95" s="561" t="s">
        <v>13</v>
      </c>
      <c r="D95" s="546" t="s">
        <v>9</v>
      </c>
      <c r="E95" s="549">
        <v>8</v>
      </c>
      <c r="F95" s="558" t="s">
        <v>34</v>
      </c>
      <c r="G95"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5" s="559">
        <f>VLOOKUP(BUReporting[[#This Row],[Program]],'Program MW '!$A$36:$S$48,6,FALSE)</f>
        <v>0</v>
      </c>
    </row>
    <row r="96" spans="1:8" ht="16.5" thickTop="1" thickBot="1">
      <c r="A96" s="548">
        <v>3</v>
      </c>
      <c r="B96" s="546" t="s">
        <v>14</v>
      </c>
      <c r="C96" s="561"/>
      <c r="D96" s="546" t="s">
        <v>9</v>
      </c>
      <c r="E96" s="549">
        <v>8</v>
      </c>
      <c r="F96" s="558" t="s">
        <v>34</v>
      </c>
      <c r="G96"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6" s="559">
        <f>VLOOKUP(BUReporting[[#This Row],[Program]],'Program MW '!$A$36:$S$48,6,FALSE)</f>
        <v>0</v>
      </c>
    </row>
    <row r="97" spans="1:8" ht="16.5" thickTop="1" thickBot="1">
      <c r="A97" s="548">
        <v>4</v>
      </c>
      <c r="B97" s="546" t="s">
        <v>15</v>
      </c>
      <c r="C97" s="561" t="s">
        <v>16</v>
      </c>
      <c r="D97" s="546" t="s">
        <v>9</v>
      </c>
      <c r="E97" s="549">
        <v>8</v>
      </c>
      <c r="F97" s="558" t="s">
        <v>34</v>
      </c>
      <c r="G97"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7" s="559">
        <f>VLOOKUP(BUReporting[[#This Row],[Program]],'Program MW '!$A$36:$S$48,6,FALSE)</f>
        <v>0</v>
      </c>
    </row>
    <row r="98" spans="1:8" ht="16.5" thickTop="1" thickBot="1">
      <c r="A98" s="548">
        <v>5</v>
      </c>
      <c r="B98" s="546" t="s">
        <v>17</v>
      </c>
      <c r="C98" s="561" t="s">
        <v>18</v>
      </c>
      <c r="D98" s="546" t="s">
        <v>19</v>
      </c>
      <c r="E98" s="549">
        <v>8</v>
      </c>
      <c r="F98" s="558" t="s">
        <v>34</v>
      </c>
      <c r="G98"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8" s="559">
        <f>VLOOKUP(BUReporting[[#This Row],[Program]],'Program MW '!$A$36:$S$48,6,FALSE)</f>
        <v>0</v>
      </c>
    </row>
    <row r="99" spans="1:8" ht="16.5" thickTop="1" thickBot="1">
      <c r="A99" s="548">
        <v>6</v>
      </c>
      <c r="B99" s="546" t="s">
        <v>20</v>
      </c>
      <c r="C99" s="561" t="s">
        <v>18</v>
      </c>
      <c r="D99" s="546" t="s">
        <v>9</v>
      </c>
      <c r="E99" s="549">
        <v>8</v>
      </c>
      <c r="F99" s="558" t="s">
        <v>34</v>
      </c>
      <c r="G99"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9" s="559">
        <f>VLOOKUP(BUReporting[[#This Row],[Program]],'Program MW '!$A$36:$S$48,6,FALSE)</f>
        <v>0</v>
      </c>
    </row>
    <row r="100" spans="1:8" ht="16.5" thickTop="1" thickBot="1">
      <c r="A100" s="548">
        <v>7</v>
      </c>
      <c r="B100" s="546" t="s">
        <v>21</v>
      </c>
      <c r="C100" s="561" t="s">
        <v>22</v>
      </c>
      <c r="D100" s="546" t="s">
        <v>19</v>
      </c>
      <c r="E100" s="549">
        <v>8</v>
      </c>
      <c r="F100" s="558" t="s">
        <v>34</v>
      </c>
      <c r="G100"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0" s="559">
        <f>VLOOKUP(BUReporting[[#This Row],[Program]],'Program MW '!$A$36:$S$48,6,FALSE)</f>
        <v>0</v>
      </c>
    </row>
    <row r="101" spans="1:8" ht="16.5" thickTop="1" thickBot="1">
      <c r="A101" s="548">
        <v>8</v>
      </c>
      <c r="B101" s="546" t="s">
        <v>23</v>
      </c>
      <c r="C101" s="561" t="s">
        <v>22</v>
      </c>
      <c r="D101" s="546" t="s">
        <v>9</v>
      </c>
      <c r="E101" s="549">
        <v>8</v>
      </c>
      <c r="F101" s="558" t="s">
        <v>34</v>
      </c>
      <c r="G101"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1" s="559">
        <f>VLOOKUP(BUReporting[[#This Row],[Program]],'Program MW '!$A$36:$S$48,6,FALSE)</f>
        <v>0</v>
      </c>
    </row>
    <row r="102" spans="1:8" ht="16.5" thickTop="1" thickBot="1">
      <c r="A102" s="548">
        <v>9</v>
      </c>
      <c r="B102" s="546" t="s">
        <v>24</v>
      </c>
      <c r="C102" s="561"/>
      <c r="D102" s="546" t="s">
        <v>9</v>
      </c>
      <c r="E102" s="549">
        <v>8</v>
      </c>
      <c r="F102" s="558" t="s">
        <v>34</v>
      </c>
      <c r="G102"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2" s="559">
        <f>VLOOKUP(BUReporting[[#This Row],[Program]],'Program MW '!$A$36:$S$48,6,FALSE)</f>
        <v>0</v>
      </c>
    </row>
    <row r="103" spans="1:8" ht="16.5" thickTop="1" thickBot="1">
      <c r="A103" s="548">
        <v>10</v>
      </c>
      <c r="B103" s="546" t="s">
        <v>25</v>
      </c>
      <c r="C103" s="561"/>
      <c r="D103" s="546" t="s">
        <v>9</v>
      </c>
      <c r="E103" s="549">
        <v>8</v>
      </c>
      <c r="F103" s="558" t="s">
        <v>34</v>
      </c>
      <c r="G103"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3" s="559">
        <f>VLOOKUP(BUReporting[[#This Row],[Program]],'Program MW '!$A$36:$S$48,6,FALSE)</f>
        <v>0</v>
      </c>
    </row>
    <row r="104" spans="1:8" ht="16.5" thickTop="1" thickBot="1">
      <c r="A104" s="548">
        <v>11</v>
      </c>
      <c r="B104" s="546" t="s">
        <v>26</v>
      </c>
      <c r="C104" s="561"/>
      <c r="D104" s="546" t="s">
        <v>9</v>
      </c>
      <c r="E104" s="549">
        <v>8</v>
      </c>
      <c r="F104" s="558" t="s">
        <v>34</v>
      </c>
      <c r="G104"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4" s="559">
        <f>VLOOKUP(BUReporting[[#This Row],[Program]],'Program MW '!$A$36:$S$48,6,FALSE)</f>
        <v>0</v>
      </c>
    </row>
    <row r="105" spans="1:8" ht="14.25" thickTop="1" thickBot="1">
      <c r="A105" s="548">
        <v>12</v>
      </c>
      <c r="B105" s="546" t="s">
        <v>27</v>
      </c>
      <c r="C105" s="545"/>
      <c r="D105" s="546" t="s">
        <v>19</v>
      </c>
      <c r="E105" s="549">
        <v>8</v>
      </c>
      <c r="F105" s="558" t="s">
        <v>34</v>
      </c>
      <c r="G105" s="547">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5" s="559">
        <f>VLOOKUP(BUReporting[[#This Row],[Program]],'Program MW '!$A$36:$S$48,6,FALSE)</f>
        <v>0</v>
      </c>
    </row>
    <row r="106" spans="1:8" ht="16.5" thickTop="1" thickBot="1">
      <c r="A106" s="560">
        <v>0</v>
      </c>
      <c r="B106" s="96" t="s">
        <v>8</v>
      </c>
      <c r="C106" s="561"/>
      <c r="D106" s="551" t="s">
        <v>9</v>
      </c>
      <c r="E106" s="556">
        <v>9</v>
      </c>
      <c r="F106" s="557" t="s">
        <v>35</v>
      </c>
      <c r="G106" s="547">
        <f>IF(OR(BUReporting[[#This Row],[Period]]=1,OR(BUReporting[[#This Row],[Period]]=2,OR(BUReporting[[#This Row],[Period]]=2,OR(BUReporting[[#This Row],[Period]]=4,OR(BUReporting[[#This Row],[Period]]=5,BUReporting[[#This Row],[Period]]=6))))),VLOOKUP(BUReporting[[#This Row],[Program]],'Program MW '!$A$9:$S$9,8,FALSE),VLOOKUP(BUReporting[[#This Row],[Program]],'Program MW '!$A$33:$S$33,8,FALSE))</f>
        <v>0</v>
      </c>
      <c r="H106" s="559">
        <f>IF(OR(BUReporting[[#This Row],[Period]]=1,OR(BUReporting[[#This Row],[Period]]=2,OR(BUReporting[[#This Row],[Period]]=3,OR(BUReporting[[#This Row],[Period]]=4,OR(BUReporting[[#This Row],[Period]]=5,BUReporting[[#This Row],[Period]]=6))))),VLOOKUP(BUReporting[[#This Row],[Program]],'Program MW '!$A$9:$S$9,9,FALSE),VLOOKUP(BUReporting[[#This Row],[Program]],'Program MW '!$A$33:$S$33,9,FALSE))</f>
        <v>0</v>
      </c>
    </row>
    <row r="107" spans="1:8" ht="16.5" thickTop="1" thickBot="1">
      <c r="A107" s="548">
        <v>1</v>
      </c>
      <c r="B107" s="546" t="s">
        <v>11</v>
      </c>
      <c r="C107" s="561"/>
      <c r="D107" s="546" t="s">
        <v>9</v>
      </c>
      <c r="E107" s="549">
        <v>9</v>
      </c>
      <c r="F107" s="558" t="s">
        <v>35</v>
      </c>
      <c r="G107"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7" s="559">
        <f>VLOOKUP(BUReporting[[#This Row],[Program]],'Program MW '!$A$36:$S$48,9,FALSE)</f>
        <v>0</v>
      </c>
    </row>
    <row r="108" spans="1:8" ht="16.5" thickTop="1" thickBot="1">
      <c r="A108" s="548">
        <v>2</v>
      </c>
      <c r="B108" s="546" t="s">
        <v>12</v>
      </c>
      <c r="C108" s="561" t="s">
        <v>13</v>
      </c>
      <c r="D108" s="546" t="s">
        <v>9</v>
      </c>
      <c r="E108" s="549">
        <v>9</v>
      </c>
      <c r="F108" s="558" t="s">
        <v>35</v>
      </c>
      <c r="G108"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8" s="559">
        <f>VLOOKUP(BUReporting[[#This Row],[Program]],'Program MW '!$A$36:$S$48,9,FALSE)</f>
        <v>0</v>
      </c>
    </row>
    <row r="109" spans="1:8" ht="16.5" thickTop="1" thickBot="1">
      <c r="A109" s="548">
        <v>3</v>
      </c>
      <c r="B109" s="546" t="s">
        <v>14</v>
      </c>
      <c r="C109" s="561"/>
      <c r="D109" s="546" t="s">
        <v>9</v>
      </c>
      <c r="E109" s="549">
        <v>9</v>
      </c>
      <c r="F109" s="558" t="s">
        <v>35</v>
      </c>
      <c r="G109"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9" s="559">
        <f>VLOOKUP(BUReporting[[#This Row],[Program]],'Program MW '!$A$36:$S$48,9,FALSE)</f>
        <v>0</v>
      </c>
    </row>
    <row r="110" spans="1:8" ht="16.5" thickTop="1" thickBot="1">
      <c r="A110" s="548">
        <v>4</v>
      </c>
      <c r="B110" s="546" t="s">
        <v>15</v>
      </c>
      <c r="C110" s="561" t="s">
        <v>16</v>
      </c>
      <c r="D110" s="546" t="s">
        <v>9</v>
      </c>
      <c r="E110" s="549">
        <v>9</v>
      </c>
      <c r="F110" s="558" t="s">
        <v>35</v>
      </c>
      <c r="G110"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0" s="559">
        <f>VLOOKUP(BUReporting[[#This Row],[Program]],'Program MW '!$A$36:$S$48,9,FALSE)</f>
        <v>0</v>
      </c>
    </row>
    <row r="111" spans="1:8" ht="16.5" thickTop="1" thickBot="1">
      <c r="A111" s="548">
        <v>5</v>
      </c>
      <c r="B111" s="546" t="s">
        <v>17</v>
      </c>
      <c r="C111" s="561" t="s">
        <v>18</v>
      </c>
      <c r="D111" s="546" t="s">
        <v>19</v>
      </c>
      <c r="E111" s="549">
        <v>9</v>
      </c>
      <c r="F111" s="558" t="s">
        <v>35</v>
      </c>
      <c r="G111"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1" s="559">
        <f>VLOOKUP(BUReporting[[#This Row],[Program]],'Program MW '!$A$36:$S$48,9,FALSE)</f>
        <v>0</v>
      </c>
    </row>
    <row r="112" spans="1:8" ht="16.5" thickTop="1" thickBot="1">
      <c r="A112" s="548">
        <v>6</v>
      </c>
      <c r="B112" s="546" t="s">
        <v>20</v>
      </c>
      <c r="C112" s="561" t="s">
        <v>18</v>
      </c>
      <c r="D112" s="546" t="s">
        <v>9</v>
      </c>
      <c r="E112" s="549">
        <v>9</v>
      </c>
      <c r="F112" s="558" t="s">
        <v>35</v>
      </c>
      <c r="G112"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2" s="559">
        <f>VLOOKUP(BUReporting[[#This Row],[Program]],'Program MW '!$A$36:$S$48,9,FALSE)</f>
        <v>0</v>
      </c>
    </row>
    <row r="113" spans="1:8" ht="16.5" thickTop="1" thickBot="1">
      <c r="A113" s="548">
        <v>7</v>
      </c>
      <c r="B113" s="546" t="s">
        <v>21</v>
      </c>
      <c r="C113" s="561" t="s">
        <v>22</v>
      </c>
      <c r="D113" s="546" t="s">
        <v>19</v>
      </c>
      <c r="E113" s="549">
        <v>9</v>
      </c>
      <c r="F113" s="558" t="s">
        <v>35</v>
      </c>
      <c r="G113"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3" s="559">
        <f>VLOOKUP(BUReporting[[#This Row],[Program]],'Program MW '!$A$36:$S$48,9,FALSE)</f>
        <v>0</v>
      </c>
    </row>
    <row r="114" spans="1:8" ht="16.5" thickTop="1" thickBot="1">
      <c r="A114" s="548">
        <v>8</v>
      </c>
      <c r="B114" s="546" t="s">
        <v>23</v>
      </c>
      <c r="C114" s="561" t="s">
        <v>22</v>
      </c>
      <c r="D114" s="546" t="s">
        <v>9</v>
      </c>
      <c r="E114" s="549">
        <v>9</v>
      </c>
      <c r="F114" s="558" t="s">
        <v>35</v>
      </c>
      <c r="G114"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4" s="559">
        <f>VLOOKUP(BUReporting[[#This Row],[Program]],'Program MW '!$A$36:$S$48,9,FALSE)</f>
        <v>0</v>
      </c>
    </row>
    <row r="115" spans="1:8" ht="16.5" thickTop="1" thickBot="1">
      <c r="A115" s="548">
        <v>9</v>
      </c>
      <c r="B115" s="546" t="s">
        <v>24</v>
      </c>
      <c r="C115" s="561"/>
      <c r="D115" s="546" t="s">
        <v>9</v>
      </c>
      <c r="E115" s="549">
        <v>9</v>
      </c>
      <c r="F115" s="558" t="s">
        <v>35</v>
      </c>
      <c r="G115"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5" s="559">
        <f>VLOOKUP(BUReporting[[#This Row],[Program]],'Program MW '!$A$36:$S$48,9,FALSE)</f>
        <v>0</v>
      </c>
    </row>
    <row r="116" spans="1:8" ht="16.5" thickTop="1" thickBot="1">
      <c r="A116" s="548">
        <v>10</v>
      </c>
      <c r="B116" s="546" t="s">
        <v>25</v>
      </c>
      <c r="C116" s="561"/>
      <c r="D116" s="546" t="s">
        <v>9</v>
      </c>
      <c r="E116" s="549">
        <v>9</v>
      </c>
      <c r="F116" s="558" t="s">
        <v>35</v>
      </c>
      <c r="G116"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6" s="559">
        <f>VLOOKUP(BUReporting[[#This Row],[Program]],'Program MW '!$A$36:$S$48,9,FALSE)</f>
        <v>0</v>
      </c>
    </row>
    <row r="117" spans="1:8" ht="16.5" thickTop="1" thickBot="1">
      <c r="A117" s="548">
        <v>11</v>
      </c>
      <c r="B117" s="546" t="s">
        <v>26</v>
      </c>
      <c r="C117" s="561"/>
      <c r="D117" s="546" t="s">
        <v>9</v>
      </c>
      <c r="E117" s="549">
        <v>9</v>
      </c>
      <c r="F117" s="558" t="s">
        <v>35</v>
      </c>
      <c r="G117"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7" s="559">
        <f>VLOOKUP(BUReporting[[#This Row],[Program]],'Program MW '!$A$36:$S$48,9,FALSE)</f>
        <v>0</v>
      </c>
    </row>
    <row r="118" spans="1:8" ht="14.25" thickTop="1" thickBot="1">
      <c r="A118" s="548">
        <v>12</v>
      </c>
      <c r="B118" s="546" t="s">
        <v>27</v>
      </c>
      <c r="C118" s="545"/>
      <c r="D118" s="546" t="s">
        <v>19</v>
      </c>
      <c r="E118" s="549">
        <v>9</v>
      </c>
      <c r="F118" s="558" t="s">
        <v>35</v>
      </c>
      <c r="G118" s="547">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8" s="559">
        <f>VLOOKUP(BUReporting[[#This Row],[Program]],'Program MW '!$A$36:$S$48,9,FALSE)</f>
        <v>0</v>
      </c>
    </row>
    <row r="119" spans="1:8" ht="16.5" thickTop="1" thickBot="1">
      <c r="A119" s="560">
        <v>0</v>
      </c>
      <c r="B119" s="96" t="s">
        <v>8</v>
      </c>
      <c r="C119" s="561"/>
      <c r="D119" s="551" t="s">
        <v>9</v>
      </c>
      <c r="E119" s="556">
        <v>10</v>
      </c>
      <c r="F119" s="557" t="s">
        <v>36</v>
      </c>
      <c r="G119" s="547">
        <f>IF(OR(BUReporting[[#This Row],[Period]]=1,OR(BUReporting[[#This Row],[Period]]=2,OR(BUReporting[[#This Row],[Period]]=2,OR(BUReporting[[#This Row],[Period]]=4,OR(BUReporting[[#This Row],[Period]]=5,BUReporting[[#This Row],[Period]]=6))))),VLOOKUP(BUReporting[[#This Row],[Program]],'Program MW '!$A$9:$S$9,11,FALSE),VLOOKUP(BUReporting[[#This Row],[Program]],'Program MW '!$A$33:$S$33,11,FALSE))</f>
        <v>0</v>
      </c>
      <c r="H119" s="559">
        <f>IF(OR(BUReporting[[#This Row],[Period]]=1,OR(BUReporting[[#This Row],[Period]]=2,OR(BUReporting[[#This Row],[Period]]=3,OR(BUReporting[[#This Row],[Period]]=4,OR(BUReporting[[#This Row],[Period]]=5,BUReporting[[#This Row],[Period]]=6))))),VLOOKUP(BUReporting[[#This Row],[Program]],'Program MW '!$A$9:$S$9,12,FALSE),VLOOKUP(BUReporting[[#This Row],[Program]],'Program MW '!$A$33:$S$33,12,FALSE))</f>
        <v>0</v>
      </c>
    </row>
    <row r="120" spans="1:8" ht="16.5" thickTop="1" thickBot="1">
      <c r="A120" s="548">
        <v>1</v>
      </c>
      <c r="B120" s="546" t="s">
        <v>11</v>
      </c>
      <c r="C120" s="561"/>
      <c r="D120" s="546" t="s">
        <v>9</v>
      </c>
      <c r="E120" s="549">
        <v>10</v>
      </c>
      <c r="F120" s="558" t="s">
        <v>36</v>
      </c>
      <c r="G120"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0" s="559">
        <f>VLOOKUP(BUReporting[[#This Row],[Program]],'Program MW '!$A$36:$S$48,12,FALSE)</f>
        <v>0</v>
      </c>
    </row>
    <row r="121" spans="1:8" ht="16.5" thickTop="1" thickBot="1">
      <c r="A121" s="548">
        <v>2</v>
      </c>
      <c r="B121" s="546" t="s">
        <v>12</v>
      </c>
      <c r="C121" s="561" t="s">
        <v>13</v>
      </c>
      <c r="D121" s="546" t="s">
        <v>9</v>
      </c>
      <c r="E121" s="549">
        <v>10</v>
      </c>
      <c r="F121" s="558" t="s">
        <v>36</v>
      </c>
      <c r="G121"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1" s="559">
        <f>VLOOKUP(BUReporting[[#This Row],[Program]],'Program MW '!$A$36:$S$48,12,FALSE)</f>
        <v>0</v>
      </c>
    </row>
    <row r="122" spans="1:8" ht="16.5" thickTop="1" thickBot="1">
      <c r="A122" s="548">
        <v>3</v>
      </c>
      <c r="B122" s="546" t="s">
        <v>14</v>
      </c>
      <c r="C122" s="561"/>
      <c r="D122" s="546" t="s">
        <v>9</v>
      </c>
      <c r="E122" s="549">
        <v>10</v>
      </c>
      <c r="F122" s="558" t="s">
        <v>36</v>
      </c>
      <c r="G122"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2" s="559">
        <f>VLOOKUP(BUReporting[[#This Row],[Program]],'Program MW '!$A$36:$S$48,12,FALSE)</f>
        <v>0</v>
      </c>
    </row>
    <row r="123" spans="1:8" ht="16.5" thickTop="1" thickBot="1">
      <c r="A123" s="548">
        <v>4</v>
      </c>
      <c r="B123" s="546" t="s">
        <v>15</v>
      </c>
      <c r="C123" s="561" t="s">
        <v>16</v>
      </c>
      <c r="D123" s="546" t="s">
        <v>9</v>
      </c>
      <c r="E123" s="549">
        <v>10</v>
      </c>
      <c r="F123" s="558" t="s">
        <v>36</v>
      </c>
      <c r="G123"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3" s="559">
        <f>VLOOKUP(BUReporting[[#This Row],[Program]],'Program MW '!$A$36:$S$48,12,FALSE)</f>
        <v>0</v>
      </c>
    </row>
    <row r="124" spans="1:8" ht="16.5" thickTop="1" thickBot="1">
      <c r="A124" s="548">
        <v>5</v>
      </c>
      <c r="B124" s="546" t="s">
        <v>17</v>
      </c>
      <c r="C124" s="561" t="s">
        <v>18</v>
      </c>
      <c r="D124" s="546" t="s">
        <v>19</v>
      </c>
      <c r="E124" s="549">
        <v>10</v>
      </c>
      <c r="F124" s="558" t="s">
        <v>36</v>
      </c>
      <c r="G124"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4" s="559">
        <f>VLOOKUP(BUReporting[[#This Row],[Program]],'Program MW '!$A$36:$S$48,12,FALSE)</f>
        <v>0</v>
      </c>
    </row>
    <row r="125" spans="1:8" ht="16.5" thickTop="1" thickBot="1">
      <c r="A125" s="548">
        <v>6</v>
      </c>
      <c r="B125" s="546" t="s">
        <v>20</v>
      </c>
      <c r="C125" s="561" t="s">
        <v>18</v>
      </c>
      <c r="D125" s="546" t="s">
        <v>9</v>
      </c>
      <c r="E125" s="549">
        <v>10</v>
      </c>
      <c r="F125" s="558" t="s">
        <v>36</v>
      </c>
      <c r="G125"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5" s="559">
        <f>VLOOKUP(BUReporting[[#This Row],[Program]],'Program MW '!$A$36:$S$48,12,FALSE)</f>
        <v>0</v>
      </c>
    </row>
    <row r="126" spans="1:8" ht="16.5" thickTop="1" thickBot="1">
      <c r="A126" s="548">
        <v>7</v>
      </c>
      <c r="B126" s="546" t="s">
        <v>21</v>
      </c>
      <c r="C126" s="561" t="s">
        <v>22</v>
      </c>
      <c r="D126" s="546" t="s">
        <v>19</v>
      </c>
      <c r="E126" s="549">
        <v>10</v>
      </c>
      <c r="F126" s="558" t="s">
        <v>36</v>
      </c>
      <c r="G126"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6" s="559">
        <f>VLOOKUP(BUReporting[[#This Row],[Program]],'Program MW '!$A$36:$S$48,12,FALSE)</f>
        <v>0</v>
      </c>
    </row>
    <row r="127" spans="1:8" ht="16.5" thickTop="1" thickBot="1">
      <c r="A127" s="548">
        <v>8</v>
      </c>
      <c r="B127" s="546" t="s">
        <v>23</v>
      </c>
      <c r="C127" s="561" t="s">
        <v>22</v>
      </c>
      <c r="D127" s="546" t="s">
        <v>9</v>
      </c>
      <c r="E127" s="549">
        <v>10</v>
      </c>
      <c r="F127" s="558" t="s">
        <v>36</v>
      </c>
      <c r="G127"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7" s="559">
        <f>VLOOKUP(BUReporting[[#This Row],[Program]],'Program MW '!$A$36:$S$48,12,FALSE)</f>
        <v>0</v>
      </c>
    </row>
    <row r="128" spans="1:8" ht="16.5" thickTop="1" thickBot="1">
      <c r="A128" s="548">
        <v>9</v>
      </c>
      <c r="B128" s="546" t="s">
        <v>24</v>
      </c>
      <c r="C128" s="561"/>
      <c r="D128" s="546" t="s">
        <v>9</v>
      </c>
      <c r="E128" s="549">
        <v>10</v>
      </c>
      <c r="F128" s="558" t="s">
        <v>36</v>
      </c>
      <c r="G128"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8" s="559">
        <f>VLOOKUP(BUReporting[[#This Row],[Program]],'Program MW '!$A$36:$S$48,12,FALSE)</f>
        <v>0</v>
      </c>
    </row>
    <row r="129" spans="1:8" ht="16.5" thickTop="1" thickBot="1">
      <c r="A129" s="548">
        <v>10</v>
      </c>
      <c r="B129" s="546" t="s">
        <v>25</v>
      </c>
      <c r="C129" s="561"/>
      <c r="D129" s="546" t="s">
        <v>9</v>
      </c>
      <c r="E129" s="549">
        <v>10</v>
      </c>
      <c r="F129" s="558" t="s">
        <v>36</v>
      </c>
      <c r="G129"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9" s="559">
        <f>VLOOKUP(BUReporting[[#This Row],[Program]],'Program MW '!$A$36:$S$48,12,FALSE)</f>
        <v>0</v>
      </c>
    </row>
    <row r="130" spans="1:8" ht="16.5" thickTop="1" thickBot="1">
      <c r="A130" s="548">
        <v>11</v>
      </c>
      <c r="B130" s="546" t="s">
        <v>26</v>
      </c>
      <c r="C130" s="561"/>
      <c r="D130" s="546" t="s">
        <v>9</v>
      </c>
      <c r="E130" s="549">
        <v>10</v>
      </c>
      <c r="F130" s="558" t="s">
        <v>36</v>
      </c>
      <c r="G130"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30" s="559">
        <f>VLOOKUP(BUReporting[[#This Row],[Program]],'Program MW '!$A$36:$S$48,12,FALSE)</f>
        <v>0</v>
      </c>
    </row>
    <row r="131" spans="1:8" ht="14.25" thickTop="1" thickBot="1">
      <c r="A131" s="548">
        <v>12</v>
      </c>
      <c r="B131" s="546" t="s">
        <v>27</v>
      </c>
      <c r="C131" s="545"/>
      <c r="D131" s="546" t="s">
        <v>19</v>
      </c>
      <c r="E131" s="549">
        <v>10</v>
      </c>
      <c r="F131" s="558" t="s">
        <v>36</v>
      </c>
      <c r="G131" s="547">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31" s="559">
        <f>VLOOKUP(BUReporting[[#This Row],[Program]],'Program MW '!$A$36:$S$48,12,FALSE)</f>
        <v>0</v>
      </c>
    </row>
    <row r="132" spans="1:8" ht="16.5" thickTop="1" thickBot="1">
      <c r="A132" s="560">
        <v>0</v>
      </c>
      <c r="B132" s="96" t="s">
        <v>8</v>
      </c>
      <c r="C132" s="561"/>
      <c r="D132" s="551" t="s">
        <v>9</v>
      </c>
      <c r="E132" s="556">
        <v>11</v>
      </c>
      <c r="F132" s="557" t="s">
        <v>37</v>
      </c>
      <c r="G132" s="547">
        <f>IF(OR(BUReporting[[#This Row],[Period]]=1,OR(BUReporting[[#This Row],[Period]]=2,OR(BUReporting[[#This Row],[Period]]=2,OR(BUReporting[[#This Row],[Period]]=4,OR(BUReporting[[#This Row],[Period]]=5,BUReporting[[#This Row],[Period]]=6))))),VLOOKUP(BUReporting[[#This Row],[Program]],'Program MW '!$A$9:$S$9,14,FALSE),VLOOKUP(BUReporting[[#This Row],[Program]],'Program MW '!$A$33:$S$33,14,FALSE))</f>
        <v>0</v>
      </c>
      <c r="H132" s="559">
        <f>IF(OR(BUReporting[[#This Row],[Period]]=1,OR(BUReporting[[#This Row],[Period]]=2,OR(BUReporting[[#This Row],[Period]]=3,OR(BUReporting[[#This Row],[Period]]=4,OR(BUReporting[[#This Row],[Period]]=5,BUReporting[[#This Row],[Period]]=6))))),VLOOKUP(BUReporting[[#This Row],[Program]],'Program MW '!$A$9:$S$9,15,FALSE),VLOOKUP(BUReporting[[#This Row],[Program]],'Program MW '!$A$33:$S$33,15,FALSE))</f>
        <v>0</v>
      </c>
    </row>
    <row r="133" spans="1:8" ht="16.5" thickTop="1" thickBot="1">
      <c r="A133" s="548">
        <v>1</v>
      </c>
      <c r="B133" s="546" t="s">
        <v>11</v>
      </c>
      <c r="C133" s="561"/>
      <c r="D133" s="546" t="s">
        <v>9</v>
      </c>
      <c r="E133" s="549">
        <v>11</v>
      </c>
      <c r="F133" s="558" t="s">
        <v>37</v>
      </c>
      <c r="G133"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3" s="559">
        <f>VLOOKUP(BUReporting[[#This Row],[Program]],'Program MW '!$A$36:$S$48,15,FALSE)</f>
        <v>0</v>
      </c>
    </row>
    <row r="134" spans="1:8" ht="16.5" thickTop="1" thickBot="1">
      <c r="A134" s="548">
        <v>2</v>
      </c>
      <c r="B134" s="546" t="s">
        <v>12</v>
      </c>
      <c r="C134" s="561" t="s">
        <v>13</v>
      </c>
      <c r="D134" s="546" t="s">
        <v>9</v>
      </c>
      <c r="E134" s="549">
        <v>11</v>
      </c>
      <c r="F134" s="558" t="s">
        <v>37</v>
      </c>
      <c r="G134"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4" s="559">
        <f>VLOOKUP(BUReporting[[#This Row],[Program]],'Program MW '!$A$36:$S$48,15,FALSE)</f>
        <v>0</v>
      </c>
    </row>
    <row r="135" spans="1:8" ht="16.5" thickTop="1" thickBot="1">
      <c r="A135" s="548">
        <v>3</v>
      </c>
      <c r="B135" s="546" t="s">
        <v>14</v>
      </c>
      <c r="C135" s="561"/>
      <c r="D135" s="546" t="s">
        <v>9</v>
      </c>
      <c r="E135" s="549">
        <v>11</v>
      </c>
      <c r="F135" s="558" t="s">
        <v>37</v>
      </c>
      <c r="G135"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5" s="559">
        <f>VLOOKUP(BUReporting[[#This Row],[Program]],'Program MW '!$A$36:$S$48,15,FALSE)</f>
        <v>0</v>
      </c>
    </row>
    <row r="136" spans="1:8" ht="16.5" thickTop="1" thickBot="1">
      <c r="A136" s="548">
        <v>4</v>
      </c>
      <c r="B136" s="546" t="s">
        <v>15</v>
      </c>
      <c r="C136" s="561" t="s">
        <v>16</v>
      </c>
      <c r="D136" s="546" t="s">
        <v>9</v>
      </c>
      <c r="E136" s="549">
        <v>11</v>
      </c>
      <c r="F136" s="558" t="s">
        <v>37</v>
      </c>
      <c r="G136"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6" s="559">
        <f>VLOOKUP(BUReporting[[#This Row],[Program]],'Program MW '!$A$36:$S$48,15,FALSE)</f>
        <v>0</v>
      </c>
    </row>
    <row r="137" spans="1:8" ht="16.5" thickTop="1" thickBot="1">
      <c r="A137" s="548">
        <v>5</v>
      </c>
      <c r="B137" s="546" t="s">
        <v>17</v>
      </c>
      <c r="C137" s="561" t="s">
        <v>18</v>
      </c>
      <c r="D137" s="546" t="s">
        <v>19</v>
      </c>
      <c r="E137" s="549">
        <v>11</v>
      </c>
      <c r="F137" s="558" t="s">
        <v>37</v>
      </c>
      <c r="G137"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7" s="559">
        <f>VLOOKUP(BUReporting[[#This Row],[Program]],'Program MW '!$A$36:$S$48,15,FALSE)</f>
        <v>0</v>
      </c>
    </row>
    <row r="138" spans="1:8" ht="16.5" thickTop="1" thickBot="1">
      <c r="A138" s="548">
        <v>6</v>
      </c>
      <c r="B138" s="546" t="s">
        <v>20</v>
      </c>
      <c r="C138" s="561" t="s">
        <v>18</v>
      </c>
      <c r="D138" s="546" t="s">
        <v>9</v>
      </c>
      <c r="E138" s="549">
        <v>11</v>
      </c>
      <c r="F138" s="558" t="s">
        <v>37</v>
      </c>
      <c r="G138"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8" s="559">
        <f>VLOOKUP(BUReporting[[#This Row],[Program]],'Program MW '!$A$36:$S$48,15,FALSE)</f>
        <v>0</v>
      </c>
    </row>
    <row r="139" spans="1:8" ht="16.5" thickTop="1" thickBot="1">
      <c r="A139" s="548">
        <v>7</v>
      </c>
      <c r="B139" s="546" t="s">
        <v>21</v>
      </c>
      <c r="C139" s="561" t="s">
        <v>22</v>
      </c>
      <c r="D139" s="546" t="s">
        <v>19</v>
      </c>
      <c r="E139" s="549">
        <v>11</v>
      </c>
      <c r="F139" s="558" t="s">
        <v>37</v>
      </c>
      <c r="G139"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9" s="559">
        <f>VLOOKUP(BUReporting[[#This Row],[Program]],'Program MW '!$A$36:$S$48,15,FALSE)</f>
        <v>0</v>
      </c>
    </row>
    <row r="140" spans="1:8" ht="16.5" thickTop="1" thickBot="1">
      <c r="A140" s="548">
        <v>8</v>
      </c>
      <c r="B140" s="546" t="s">
        <v>23</v>
      </c>
      <c r="C140" s="561" t="s">
        <v>22</v>
      </c>
      <c r="D140" s="546" t="s">
        <v>9</v>
      </c>
      <c r="E140" s="549">
        <v>11</v>
      </c>
      <c r="F140" s="558" t="s">
        <v>37</v>
      </c>
      <c r="G140"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0" s="559">
        <f>VLOOKUP(BUReporting[[#This Row],[Program]],'Program MW '!$A$36:$S$48,15,FALSE)</f>
        <v>0</v>
      </c>
    </row>
    <row r="141" spans="1:8" ht="16.5" thickTop="1" thickBot="1">
      <c r="A141" s="548">
        <v>9</v>
      </c>
      <c r="B141" s="546" t="s">
        <v>24</v>
      </c>
      <c r="C141" s="561"/>
      <c r="D141" s="546" t="s">
        <v>9</v>
      </c>
      <c r="E141" s="549">
        <v>11</v>
      </c>
      <c r="F141" s="558" t="s">
        <v>37</v>
      </c>
      <c r="G141"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1" s="559">
        <f>VLOOKUP(BUReporting[[#This Row],[Program]],'Program MW '!$A$36:$S$48,15,FALSE)</f>
        <v>0</v>
      </c>
    </row>
    <row r="142" spans="1:8" ht="16.5" thickTop="1" thickBot="1">
      <c r="A142" s="548">
        <v>10</v>
      </c>
      <c r="B142" s="546" t="s">
        <v>25</v>
      </c>
      <c r="C142" s="561"/>
      <c r="D142" s="546" t="s">
        <v>9</v>
      </c>
      <c r="E142" s="549">
        <v>11</v>
      </c>
      <c r="F142" s="558" t="s">
        <v>37</v>
      </c>
      <c r="G142"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2" s="559">
        <f>VLOOKUP(BUReporting[[#This Row],[Program]],'Program MW '!$A$36:$S$48,15,FALSE)</f>
        <v>0</v>
      </c>
    </row>
    <row r="143" spans="1:8" ht="16.5" thickTop="1" thickBot="1">
      <c r="A143" s="548">
        <v>11</v>
      </c>
      <c r="B143" s="546" t="s">
        <v>26</v>
      </c>
      <c r="C143" s="561"/>
      <c r="D143" s="546" t="s">
        <v>9</v>
      </c>
      <c r="E143" s="549">
        <v>11</v>
      </c>
      <c r="F143" s="558" t="s">
        <v>37</v>
      </c>
      <c r="G143"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3" s="559">
        <f>VLOOKUP(BUReporting[[#This Row],[Program]],'Program MW '!$A$36:$S$48,15,FALSE)</f>
        <v>0</v>
      </c>
    </row>
    <row r="144" spans="1:8" ht="14.25" thickTop="1" thickBot="1">
      <c r="A144" s="548">
        <v>12</v>
      </c>
      <c r="B144" s="546" t="s">
        <v>27</v>
      </c>
      <c r="C144" s="545"/>
      <c r="D144" s="546" t="s">
        <v>19</v>
      </c>
      <c r="E144" s="549">
        <v>11</v>
      </c>
      <c r="F144" s="558" t="s">
        <v>37</v>
      </c>
      <c r="G144" s="547">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4" s="559">
        <f>VLOOKUP(BUReporting[[#This Row],[Program]],'Program MW '!$A$36:$S$48,15,FALSE)</f>
        <v>0</v>
      </c>
    </row>
    <row r="145" spans="1:8" ht="16.5" thickTop="1" thickBot="1">
      <c r="A145" s="560">
        <v>0</v>
      </c>
      <c r="B145" s="96" t="s">
        <v>8</v>
      </c>
      <c r="C145" s="561"/>
      <c r="D145" s="551" t="s">
        <v>9</v>
      </c>
      <c r="E145" s="556">
        <v>12</v>
      </c>
      <c r="F145" s="557" t="s">
        <v>38</v>
      </c>
      <c r="G145" s="547">
        <f>IF(OR(BUReporting[[#This Row],[Period]]=1,OR(BUReporting[[#This Row],[Period]]=2,OR(BUReporting[[#This Row],[Period]]=2,OR(BUReporting[[#This Row],[Period]]=4,OR(BUReporting[[#This Row],[Period]]=5,BUReporting[[#This Row],[Period]]=6))))),VLOOKUP(BUReporting[[#This Row],[Program]],'Program MW '!$A$9:$S$9,17,FALSE),VLOOKUP(BUReporting[[#This Row],[Program]],'Program MW '!$A$33:$S$33,17,FALSE))</f>
        <v>0</v>
      </c>
      <c r="H145" s="559">
        <f>IF(OR(BUReporting[[#This Row],[Period]]=1,OR(BUReporting[[#This Row],[Period]]=2,OR(BUReporting[[#This Row],[Period]]=3,OR(BUReporting[[#This Row],[Period]]=4,OR(BUReporting[[#This Row],[Period]]=5,BUReporting[[#This Row],[Period]]=6))))),VLOOKUP(BUReporting[[#This Row],[Program]],'Program MW '!$A$9:$S$9,18,FALSE),VLOOKUP(BUReporting[[#This Row],[Program]],'Program MW '!$A$33:$S$33,18,FALSE))</f>
        <v>0</v>
      </c>
    </row>
    <row r="146" spans="1:8" ht="16.5" thickTop="1" thickBot="1">
      <c r="A146" s="548">
        <v>1</v>
      </c>
      <c r="B146" s="546" t="s">
        <v>11</v>
      </c>
      <c r="C146" s="561"/>
      <c r="D146" s="546" t="s">
        <v>9</v>
      </c>
      <c r="E146" s="549">
        <v>12</v>
      </c>
      <c r="F146" s="558" t="s">
        <v>38</v>
      </c>
      <c r="G146"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6" s="559">
        <f>VLOOKUP(BUReporting[[#This Row],[Program]],'Program MW '!$A$36:$S$48,18,FALSE)</f>
        <v>0</v>
      </c>
    </row>
    <row r="147" spans="1:8" ht="16.5" thickTop="1" thickBot="1">
      <c r="A147" s="548">
        <v>2</v>
      </c>
      <c r="B147" s="546" t="s">
        <v>12</v>
      </c>
      <c r="C147" s="561" t="s">
        <v>13</v>
      </c>
      <c r="D147" s="546" t="s">
        <v>9</v>
      </c>
      <c r="E147" s="549">
        <v>12</v>
      </c>
      <c r="F147" s="558" t="s">
        <v>38</v>
      </c>
      <c r="G147"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7" s="559">
        <f>VLOOKUP(BUReporting[[#This Row],[Program]],'Program MW '!$A$36:$S$48,18,FALSE)</f>
        <v>0</v>
      </c>
    </row>
    <row r="148" spans="1:8" ht="16.5" thickTop="1" thickBot="1">
      <c r="A148" s="548">
        <v>3</v>
      </c>
      <c r="B148" s="546" t="s">
        <v>14</v>
      </c>
      <c r="C148" s="561"/>
      <c r="D148" s="546" t="s">
        <v>9</v>
      </c>
      <c r="E148" s="549">
        <v>12</v>
      </c>
      <c r="F148" s="558" t="s">
        <v>38</v>
      </c>
      <c r="G148"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8" s="559">
        <f>VLOOKUP(BUReporting[[#This Row],[Program]],'Program MW '!$A$36:$S$48,18,FALSE)</f>
        <v>0</v>
      </c>
    </row>
    <row r="149" spans="1:8" ht="16.5" thickTop="1" thickBot="1">
      <c r="A149" s="548">
        <v>4</v>
      </c>
      <c r="B149" s="546" t="s">
        <v>15</v>
      </c>
      <c r="C149" s="561" t="s">
        <v>16</v>
      </c>
      <c r="D149" s="546" t="s">
        <v>9</v>
      </c>
      <c r="E149" s="549">
        <v>12</v>
      </c>
      <c r="F149" s="558" t="s">
        <v>38</v>
      </c>
      <c r="G149"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9" s="559">
        <f>VLOOKUP(BUReporting[[#This Row],[Program]],'Program MW '!$A$36:$S$48,18,FALSE)</f>
        <v>0</v>
      </c>
    </row>
    <row r="150" spans="1:8" ht="16.5" thickTop="1" thickBot="1">
      <c r="A150" s="548">
        <v>5</v>
      </c>
      <c r="B150" s="546" t="s">
        <v>17</v>
      </c>
      <c r="C150" s="561" t="s">
        <v>18</v>
      </c>
      <c r="D150" s="546" t="s">
        <v>19</v>
      </c>
      <c r="E150" s="549">
        <v>12</v>
      </c>
      <c r="F150" s="558" t="s">
        <v>38</v>
      </c>
      <c r="G150"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0" s="559">
        <f>VLOOKUP(BUReporting[[#This Row],[Program]],'Program MW '!$A$36:$S$48,18,FALSE)</f>
        <v>0</v>
      </c>
    </row>
    <row r="151" spans="1:8" ht="16.5" thickTop="1" thickBot="1">
      <c r="A151" s="548">
        <v>6</v>
      </c>
      <c r="B151" s="546" t="s">
        <v>20</v>
      </c>
      <c r="C151" s="561" t="s">
        <v>18</v>
      </c>
      <c r="D151" s="546" t="s">
        <v>9</v>
      </c>
      <c r="E151" s="549">
        <v>12</v>
      </c>
      <c r="F151" s="558" t="s">
        <v>38</v>
      </c>
      <c r="G151"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1" s="559">
        <f>VLOOKUP(BUReporting[[#This Row],[Program]],'Program MW '!$A$36:$S$48,18,FALSE)</f>
        <v>0</v>
      </c>
    </row>
    <row r="152" spans="1:8" ht="16.5" thickTop="1" thickBot="1">
      <c r="A152" s="548">
        <v>7</v>
      </c>
      <c r="B152" s="546" t="s">
        <v>21</v>
      </c>
      <c r="C152" s="561" t="s">
        <v>22</v>
      </c>
      <c r="D152" s="546" t="s">
        <v>19</v>
      </c>
      <c r="E152" s="549">
        <v>12</v>
      </c>
      <c r="F152" s="558" t="s">
        <v>38</v>
      </c>
      <c r="G152"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2" s="559">
        <f>VLOOKUP(BUReporting[[#This Row],[Program]],'Program MW '!$A$36:$S$48,18,FALSE)</f>
        <v>0</v>
      </c>
    </row>
    <row r="153" spans="1:8" ht="16.5" thickTop="1" thickBot="1">
      <c r="A153" s="548">
        <v>8</v>
      </c>
      <c r="B153" s="546" t="s">
        <v>23</v>
      </c>
      <c r="C153" s="561" t="s">
        <v>22</v>
      </c>
      <c r="D153" s="546" t="s">
        <v>9</v>
      </c>
      <c r="E153" s="549">
        <v>12</v>
      </c>
      <c r="F153" s="558" t="s">
        <v>38</v>
      </c>
      <c r="G153"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3" s="559">
        <f>VLOOKUP(BUReporting[[#This Row],[Program]],'Program MW '!$A$36:$S$48,18,FALSE)</f>
        <v>0</v>
      </c>
    </row>
    <row r="154" spans="1:8" ht="16.5" thickTop="1" thickBot="1">
      <c r="A154" s="548">
        <v>9</v>
      </c>
      <c r="B154" s="546" t="s">
        <v>24</v>
      </c>
      <c r="C154" s="561"/>
      <c r="D154" s="546" t="s">
        <v>9</v>
      </c>
      <c r="E154" s="549">
        <v>12</v>
      </c>
      <c r="F154" s="558" t="s">
        <v>38</v>
      </c>
      <c r="G154"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4" s="559">
        <f>VLOOKUP(BUReporting[[#This Row],[Program]],'Program MW '!$A$36:$S$48,18,FALSE)</f>
        <v>0</v>
      </c>
    </row>
    <row r="155" spans="1:8" ht="16.5" thickTop="1" thickBot="1">
      <c r="A155" s="548">
        <v>10</v>
      </c>
      <c r="B155" s="546" t="s">
        <v>25</v>
      </c>
      <c r="C155" s="561"/>
      <c r="D155" s="546" t="s">
        <v>9</v>
      </c>
      <c r="E155" s="549">
        <v>12</v>
      </c>
      <c r="F155" s="558" t="s">
        <v>38</v>
      </c>
      <c r="G155"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5" s="559">
        <f>VLOOKUP(BUReporting[[#This Row],[Program]],'Program MW '!$A$36:$S$48,18,FALSE)</f>
        <v>0</v>
      </c>
    </row>
    <row r="156" spans="1:8" ht="16.5" thickTop="1" thickBot="1">
      <c r="A156" s="548">
        <v>11</v>
      </c>
      <c r="B156" s="546" t="s">
        <v>26</v>
      </c>
      <c r="C156" s="561"/>
      <c r="D156" s="546" t="s">
        <v>9</v>
      </c>
      <c r="E156" s="549">
        <v>12</v>
      </c>
      <c r="F156" s="558" t="s">
        <v>38</v>
      </c>
      <c r="G156"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6" s="559">
        <f>VLOOKUP(BUReporting[[#This Row],[Program]],'Program MW '!$A$36:$S$48,18,FALSE)</f>
        <v>0</v>
      </c>
    </row>
    <row r="157" spans="1:8" ht="13.5" thickTop="1">
      <c r="A157" s="548">
        <v>12</v>
      </c>
      <c r="B157" s="546" t="s">
        <v>27</v>
      </c>
      <c r="C157" s="545"/>
      <c r="D157" s="546" t="s">
        <v>19</v>
      </c>
      <c r="E157" s="549">
        <v>12</v>
      </c>
      <c r="F157" s="558" t="s">
        <v>38</v>
      </c>
      <c r="G157" s="547">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7" s="559">
        <f>VLOOKUP(BUReporting[[#This Row],[Program]],'Program MW '!$A$36:$S$48,18,FALSE)</f>
        <v>0</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G19"/>
  <sheetViews>
    <sheetView zoomScaleNormal="100" zoomScaleSheetLayoutView="90" workbookViewId="0">
      <selection activeCell="A19" sqref="A19"/>
    </sheetView>
  </sheetViews>
  <sheetFormatPr defaultColWidth="9.140625" defaultRowHeight="14.25" customHeight="1"/>
  <cols>
    <col min="1" max="1" width="56.85546875" style="453" customWidth="1"/>
    <col min="2" max="2" width="30" style="279" customWidth="1"/>
    <col min="3" max="3" width="15.7109375" style="456" customWidth="1"/>
    <col min="4" max="4" width="27" style="453" bestFit="1" customWidth="1"/>
    <col min="5" max="5" width="15.85546875" style="453" customWidth="1"/>
    <col min="6" max="6" width="22" style="453" customWidth="1"/>
    <col min="7" max="7" width="37" style="453" customWidth="1"/>
    <col min="8" max="16384" width="9.140625" style="454"/>
  </cols>
  <sheetData>
    <row r="2" spans="1:7" ht="12.75">
      <c r="C2" s="280" t="s">
        <v>39</v>
      </c>
    </row>
    <row r="3" spans="1:7" ht="12.75">
      <c r="C3" s="280" t="s">
        <v>229</v>
      </c>
    </row>
    <row r="4" spans="1:7" ht="12.75">
      <c r="C4" s="562" t="str">
        <f>'Program MW '!H3</f>
        <v>January 2020</v>
      </c>
    </row>
    <row r="5" spans="1:7" ht="12.75">
      <c r="C5" s="280"/>
    </row>
    <row r="7" spans="1:7" ht="15.75">
      <c r="A7" s="724" t="s">
        <v>230</v>
      </c>
      <c r="B7" s="725"/>
      <c r="C7" s="725"/>
      <c r="D7" s="725"/>
      <c r="E7" s="725"/>
      <c r="F7" s="725"/>
      <c r="G7" s="726"/>
    </row>
    <row r="8" spans="1:7" ht="27">
      <c r="A8" s="517" t="s">
        <v>183</v>
      </c>
      <c r="B8" s="517" t="s">
        <v>231</v>
      </c>
      <c r="C8" s="518" t="s">
        <v>186</v>
      </c>
      <c r="D8" s="517" t="s">
        <v>232</v>
      </c>
      <c r="E8" s="519" t="s">
        <v>233</v>
      </c>
      <c r="F8" s="519" t="s">
        <v>234</v>
      </c>
      <c r="G8" s="519" t="s">
        <v>235</v>
      </c>
    </row>
    <row r="9" spans="1:7" ht="12.75">
      <c r="A9" s="520"/>
      <c r="B9" s="521"/>
      <c r="C9" s="522"/>
      <c r="D9" s="523"/>
      <c r="E9" s="524"/>
      <c r="F9" s="525"/>
      <c r="G9" s="526"/>
    </row>
    <row r="10" spans="1:7" ht="14.25" customHeight="1">
      <c r="A10" s="527"/>
      <c r="B10" s="528"/>
      <c r="C10" s="529"/>
      <c r="D10" s="530"/>
      <c r="E10" s="531"/>
      <c r="F10" s="532"/>
      <c r="G10" s="533"/>
    </row>
    <row r="11" spans="1:7" ht="14.25" customHeight="1">
      <c r="A11" s="527"/>
      <c r="B11" s="528"/>
      <c r="C11" s="529"/>
      <c r="D11" s="530"/>
      <c r="E11" s="531"/>
      <c r="F11" s="532"/>
      <c r="G11" s="533"/>
    </row>
    <row r="12" spans="1:7" ht="14.25" customHeight="1">
      <c r="A12" s="542"/>
      <c r="B12" s="543"/>
      <c r="C12" s="455"/>
      <c r="D12" s="530"/>
      <c r="E12" s="531"/>
      <c r="F12" s="532"/>
      <c r="G12" s="533"/>
    </row>
    <row r="13" spans="1:7" ht="14.25" customHeight="1">
      <c r="A13" s="542"/>
      <c r="B13" s="543"/>
      <c r="C13" s="455"/>
      <c r="D13" s="530"/>
      <c r="E13" s="531"/>
      <c r="F13" s="532"/>
      <c r="G13" s="533"/>
    </row>
    <row r="14" spans="1:7" ht="14.25" customHeight="1">
      <c r="A14" s="534" t="s">
        <v>68</v>
      </c>
      <c r="B14" s="535"/>
      <c r="C14" s="536"/>
      <c r="D14" s="530"/>
      <c r="E14" s="537"/>
      <c r="F14" s="532"/>
      <c r="G14" s="530"/>
    </row>
    <row r="15" spans="1:7" ht="18" customHeight="1">
      <c r="A15" s="675" t="s">
        <v>304</v>
      </c>
      <c r="B15" s="535"/>
      <c r="C15" s="536"/>
      <c r="D15" s="530"/>
      <c r="E15" s="537"/>
      <c r="F15" s="532"/>
      <c r="G15" s="530"/>
    </row>
    <row r="16" spans="1:7" ht="18.75" customHeight="1">
      <c r="A16" s="675" t="s">
        <v>305</v>
      </c>
      <c r="B16" s="535"/>
      <c r="C16" s="536"/>
      <c r="D16" s="530"/>
      <c r="E16" s="537"/>
      <c r="F16" s="532"/>
      <c r="G16" s="530"/>
    </row>
    <row r="17" spans="1:7" ht="14.25" customHeight="1">
      <c r="A17" s="675"/>
      <c r="B17" s="535"/>
      <c r="C17" s="536"/>
      <c r="D17" s="530"/>
      <c r="E17" s="537"/>
      <c r="F17" s="532"/>
      <c r="G17" s="530"/>
    </row>
    <row r="18" spans="1:7" ht="14.25" customHeight="1">
      <c r="A18" s="676" t="s">
        <v>72</v>
      </c>
      <c r="B18" s="538"/>
      <c r="C18" s="538"/>
      <c r="D18" s="538"/>
      <c r="E18" s="544"/>
      <c r="F18" s="538"/>
      <c r="G18" s="538"/>
    </row>
    <row r="19" spans="1:7" ht="14.25" customHeight="1">
      <c r="A19" s="435"/>
      <c r="B19" s="538"/>
      <c r="C19" s="538"/>
      <c r="D19" s="538"/>
      <c r="E19" s="544"/>
      <c r="F19" s="538"/>
      <c r="G19" s="538"/>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6"/>
  <sheetViews>
    <sheetView zoomScaleNormal="100" zoomScaleSheetLayoutView="75" workbookViewId="0">
      <selection activeCell="E14" sqref="E14"/>
    </sheetView>
  </sheetViews>
  <sheetFormatPr defaultColWidth="17" defaultRowHeight="12"/>
  <cols>
    <col min="1" max="1" width="46.140625" style="229" customWidth="1"/>
    <col min="2" max="3" width="11.7109375" style="229" customWidth="1"/>
    <col min="4" max="4" width="15.5703125" style="229" customWidth="1"/>
    <col min="5" max="7" width="11.7109375" style="229" customWidth="1"/>
    <col min="8" max="8" width="14.85546875" style="229" customWidth="1"/>
    <col min="9" max="9" width="11.7109375" style="229" customWidth="1"/>
    <col min="10" max="10" width="11.7109375" style="230" customWidth="1"/>
    <col min="11" max="11" width="11.7109375" style="229" customWidth="1"/>
    <col min="12" max="12" width="12.28515625" style="229" customWidth="1"/>
    <col min="13" max="13" width="11.7109375" style="229" customWidth="1"/>
    <col min="14" max="14" width="12.7109375" style="229" customWidth="1"/>
    <col min="15" max="16384" width="17" style="229"/>
  </cols>
  <sheetData>
    <row r="1" spans="1:14">
      <c r="E1" s="227" t="s">
        <v>39</v>
      </c>
    </row>
    <row r="2" spans="1:14">
      <c r="E2" s="227" t="s">
        <v>236</v>
      </c>
    </row>
    <row r="3" spans="1:14">
      <c r="D3" s="231"/>
      <c r="E3" s="232" t="str">
        <f>'Program MW '!H3</f>
        <v>January 2020</v>
      </c>
      <c r="F3" s="231"/>
    </row>
    <row r="4" spans="1:14" ht="12.75" thickBot="1"/>
    <row r="5" spans="1:14">
      <c r="A5" s="233"/>
      <c r="B5" s="234"/>
      <c r="C5" s="234"/>
      <c r="D5" s="234"/>
      <c r="E5" s="234"/>
      <c r="F5" s="234"/>
      <c r="G5" s="234"/>
      <c r="H5" s="234"/>
      <c r="I5" s="234"/>
      <c r="J5" s="235"/>
      <c r="K5" s="234"/>
      <c r="L5" s="234"/>
      <c r="M5" s="234"/>
      <c r="N5" s="656"/>
    </row>
    <row r="6" spans="1:14" ht="24">
      <c r="A6" s="236" t="s">
        <v>237</v>
      </c>
      <c r="B6" s="237" t="s">
        <v>42</v>
      </c>
      <c r="C6" s="237" t="s">
        <v>43</v>
      </c>
      <c r="D6" s="237" t="s">
        <v>44</v>
      </c>
      <c r="E6" s="237" t="s">
        <v>45</v>
      </c>
      <c r="F6" s="237" t="s">
        <v>31</v>
      </c>
      <c r="G6" s="237" t="s">
        <v>46</v>
      </c>
      <c r="H6" s="694" t="s">
        <v>62</v>
      </c>
      <c r="I6" s="237" t="s">
        <v>118</v>
      </c>
      <c r="J6" s="238" t="s">
        <v>119</v>
      </c>
      <c r="K6" s="237" t="s">
        <v>65</v>
      </c>
      <c r="L6" s="237" t="s">
        <v>120</v>
      </c>
      <c r="M6" s="237" t="s">
        <v>67</v>
      </c>
      <c r="N6" s="657" t="s">
        <v>238</v>
      </c>
    </row>
    <row r="7" spans="1:14">
      <c r="A7" s="239"/>
      <c r="B7" s="240"/>
      <c r="C7" s="240"/>
      <c r="D7" s="240"/>
      <c r="E7" s="240"/>
      <c r="F7" s="240"/>
      <c r="G7" s="240"/>
      <c r="H7" s="695"/>
      <c r="I7" s="240"/>
      <c r="J7" s="241"/>
      <c r="K7" s="240"/>
      <c r="L7" s="240"/>
      <c r="M7" s="655"/>
      <c r="N7" s="658"/>
    </row>
    <row r="8" spans="1:14">
      <c r="A8" s="242" t="s">
        <v>239</v>
      </c>
      <c r="B8" s="240"/>
      <c r="C8" s="240"/>
      <c r="D8" s="240"/>
      <c r="E8" s="240"/>
      <c r="F8" s="240"/>
      <c r="G8" s="240"/>
      <c r="H8" s="695"/>
      <c r="I8" s="240"/>
      <c r="J8" s="241"/>
      <c r="K8" s="240"/>
      <c r="L8" s="240"/>
      <c r="M8" s="655"/>
      <c r="N8" s="659"/>
    </row>
    <row r="9" spans="1:14">
      <c r="A9" s="373" t="s">
        <v>240</v>
      </c>
      <c r="B9" s="467">
        <v>2.42</v>
      </c>
      <c r="C9" s="468">
        <v>0</v>
      </c>
      <c r="D9" s="468">
        <v>0</v>
      </c>
      <c r="E9" s="468">
        <v>0</v>
      </c>
      <c r="F9" s="468">
        <v>0</v>
      </c>
      <c r="G9" s="468">
        <v>0</v>
      </c>
      <c r="H9" s="696">
        <v>0</v>
      </c>
      <c r="I9" s="468">
        <v>0</v>
      </c>
      <c r="J9" s="468">
        <v>0</v>
      </c>
      <c r="K9" s="468">
        <v>0</v>
      </c>
      <c r="L9" s="468">
        <v>0</v>
      </c>
      <c r="M9" s="468">
        <v>0</v>
      </c>
      <c r="N9" s="660">
        <f t="shared" ref="N9:N33" si="0">SUM(B9:M9)</f>
        <v>2.42</v>
      </c>
    </row>
    <row r="10" spans="1:14" ht="13.5">
      <c r="A10" s="373" t="s">
        <v>241</v>
      </c>
      <c r="B10" s="371">
        <v>40.151000000000003</v>
      </c>
      <c r="C10" s="465">
        <v>0</v>
      </c>
      <c r="D10" s="465">
        <v>0</v>
      </c>
      <c r="E10" s="465">
        <v>0</v>
      </c>
      <c r="F10" s="465">
        <v>0</v>
      </c>
      <c r="G10" s="465">
        <v>0</v>
      </c>
      <c r="H10" s="697">
        <v>0</v>
      </c>
      <c r="I10" s="465">
        <v>0</v>
      </c>
      <c r="J10" s="465">
        <v>0</v>
      </c>
      <c r="K10" s="465">
        <v>0</v>
      </c>
      <c r="L10" s="465">
        <v>0</v>
      </c>
      <c r="M10" s="465">
        <v>0</v>
      </c>
      <c r="N10" s="660">
        <f t="shared" si="0"/>
        <v>40.151000000000003</v>
      </c>
    </row>
    <row r="11" spans="1:14" ht="14.25">
      <c r="A11" s="373" t="s">
        <v>242</v>
      </c>
      <c r="B11" s="371">
        <v>1.5580000000000001</v>
      </c>
      <c r="C11" s="465">
        <v>0</v>
      </c>
      <c r="D11" s="465">
        <v>0</v>
      </c>
      <c r="E11" s="465">
        <v>0</v>
      </c>
      <c r="F11" s="465">
        <v>0</v>
      </c>
      <c r="G11" s="465">
        <v>0</v>
      </c>
      <c r="H11" s="697">
        <v>0</v>
      </c>
      <c r="I11" s="465">
        <v>0</v>
      </c>
      <c r="J11" s="465">
        <v>0</v>
      </c>
      <c r="K11" s="465">
        <v>0</v>
      </c>
      <c r="L11" s="465">
        <v>0</v>
      </c>
      <c r="M11" s="465">
        <v>0</v>
      </c>
      <c r="N11" s="660">
        <f t="shared" si="0"/>
        <v>1.5580000000000001</v>
      </c>
    </row>
    <row r="12" spans="1:14">
      <c r="A12" s="373" t="s">
        <v>243</v>
      </c>
      <c r="B12" s="371">
        <v>0</v>
      </c>
      <c r="C12" s="465">
        <v>0</v>
      </c>
      <c r="D12" s="465">
        <v>0</v>
      </c>
      <c r="E12" s="465">
        <v>0</v>
      </c>
      <c r="F12" s="465">
        <v>0</v>
      </c>
      <c r="G12" s="465">
        <v>0</v>
      </c>
      <c r="H12" s="697">
        <v>0</v>
      </c>
      <c r="I12" s="465">
        <v>0</v>
      </c>
      <c r="J12" s="465">
        <v>0</v>
      </c>
      <c r="K12" s="465">
        <v>0</v>
      </c>
      <c r="L12" s="465">
        <v>0</v>
      </c>
      <c r="M12" s="465">
        <v>0</v>
      </c>
      <c r="N12" s="660">
        <f t="shared" si="0"/>
        <v>0</v>
      </c>
    </row>
    <row r="13" spans="1:14">
      <c r="A13" s="373" t="s">
        <v>200</v>
      </c>
      <c r="B13" s="371">
        <v>12.635999999999999</v>
      </c>
      <c r="C13" s="465">
        <v>0</v>
      </c>
      <c r="D13" s="465">
        <v>0</v>
      </c>
      <c r="E13" s="465">
        <v>0</v>
      </c>
      <c r="F13" s="465">
        <v>0</v>
      </c>
      <c r="G13" s="465">
        <v>0</v>
      </c>
      <c r="H13" s="697">
        <v>0</v>
      </c>
      <c r="I13" s="465">
        <v>0</v>
      </c>
      <c r="J13" s="465">
        <v>0</v>
      </c>
      <c r="K13" s="465">
        <v>0</v>
      </c>
      <c r="L13" s="465">
        <v>0</v>
      </c>
      <c r="M13" s="465">
        <v>0</v>
      </c>
      <c r="N13" s="660">
        <f t="shared" si="0"/>
        <v>12.635999999999999</v>
      </c>
    </row>
    <row r="14" spans="1:14">
      <c r="A14" s="373" t="s">
        <v>244</v>
      </c>
      <c r="B14" s="371">
        <v>4.7030000000000003</v>
      </c>
      <c r="C14" s="465">
        <v>0</v>
      </c>
      <c r="D14" s="465">
        <v>0</v>
      </c>
      <c r="E14" s="465">
        <v>0</v>
      </c>
      <c r="F14" s="465">
        <v>0</v>
      </c>
      <c r="G14" s="465">
        <v>0</v>
      </c>
      <c r="H14" s="697">
        <v>0</v>
      </c>
      <c r="I14" s="465">
        <v>0</v>
      </c>
      <c r="J14" s="465">
        <v>0</v>
      </c>
      <c r="K14" s="465">
        <v>0</v>
      </c>
      <c r="L14" s="465">
        <v>0</v>
      </c>
      <c r="M14" s="465">
        <v>0</v>
      </c>
      <c r="N14" s="660">
        <f t="shared" si="0"/>
        <v>4.7030000000000003</v>
      </c>
    </row>
    <row r="15" spans="1:14">
      <c r="A15" s="373" t="s">
        <v>245</v>
      </c>
      <c r="B15" s="371">
        <v>40.1</v>
      </c>
      <c r="C15" s="465">
        <v>0</v>
      </c>
      <c r="D15" s="465">
        <v>0</v>
      </c>
      <c r="E15" s="465">
        <v>0</v>
      </c>
      <c r="F15" s="465">
        <v>0</v>
      </c>
      <c r="G15" s="465">
        <v>0</v>
      </c>
      <c r="H15" s="697">
        <v>0</v>
      </c>
      <c r="I15" s="465">
        <v>0</v>
      </c>
      <c r="J15" s="465">
        <v>0</v>
      </c>
      <c r="K15" s="465">
        <v>0</v>
      </c>
      <c r="L15" s="465">
        <v>0</v>
      </c>
      <c r="M15" s="465">
        <v>0</v>
      </c>
      <c r="N15" s="660">
        <f t="shared" si="0"/>
        <v>40.1</v>
      </c>
    </row>
    <row r="16" spans="1:14">
      <c r="A16" s="373" t="s">
        <v>210</v>
      </c>
      <c r="B16" s="371">
        <v>12.237</v>
      </c>
      <c r="C16" s="465">
        <v>0</v>
      </c>
      <c r="D16" s="465">
        <v>0</v>
      </c>
      <c r="E16" s="465">
        <v>0</v>
      </c>
      <c r="F16" s="465">
        <v>0</v>
      </c>
      <c r="G16" s="465">
        <v>0</v>
      </c>
      <c r="H16" s="697">
        <v>0</v>
      </c>
      <c r="I16" s="465">
        <v>0</v>
      </c>
      <c r="J16" s="465">
        <v>0</v>
      </c>
      <c r="K16" s="465">
        <v>0</v>
      </c>
      <c r="L16" s="465">
        <v>0</v>
      </c>
      <c r="M16" s="465">
        <v>0</v>
      </c>
      <c r="N16" s="660">
        <f t="shared" si="0"/>
        <v>12.237</v>
      </c>
    </row>
    <row r="17" spans="1:15">
      <c r="A17" s="373" t="s">
        <v>211</v>
      </c>
      <c r="B17" s="371">
        <v>19.221</v>
      </c>
      <c r="C17" s="465">
        <v>0</v>
      </c>
      <c r="D17" s="465">
        <v>0</v>
      </c>
      <c r="E17" s="465">
        <v>0</v>
      </c>
      <c r="F17" s="465">
        <v>0</v>
      </c>
      <c r="G17" s="465">
        <v>0</v>
      </c>
      <c r="H17" s="697">
        <v>0</v>
      </c>
      <c r="I17" s="465">
        <v>0</v>
      </c>
      <c r="J17" s="465">
        <v>0</v>
      </c>
      <c r="K17" s="465">
        <v>0</v>
      </c>
      <c r="L17" s="465">
        <v>0</v>
      </c>
      <c r="M17" s="465">
        <v>0</v>
      </c>
      <c r="N17" s="660">
        <f t="shared" si="0"/>
        <v>19.221</v>
      </c>
    </row>
    <row r="18" spans="1:15">
      <c r="A18" s="373" t="s">
        <v>246</v>
      </c>
      <c r="B18" s="371">
        <v>0</v>
      </c>
      <c r="C18" s="465">
        <v>0</v>
      </c>
      <c r="D18" s="465">
        <v>0</v>
      </c>
      <c r="E18" s="465">
        <v>0</v>
      </c>
      <c r="F18" s="465">
        <v>0</v>
      </c>
      <c r="G18" s="465">
        <v>0</v>
      </c>
      <c r="H18" s="697">
        <v>0</v>
      </c>
      <c r="I18" s="465">
        <v>0</v>
      </c>
      <c r="J18" s="465">
        <v>0</v>
      </c>
      <c r="K18" s="465">
        <v>0</v>
      </c>
      <c r="L18" s="465">
        <v>0</v>
      </c>
      <c r="M18" s="465">
        <v>0</v>
      </c>
      <c r="N18" s="660">
        <f t="shared" si="0"/>
        <v>0</v>
      </c>
    </row>
    <row r="19" spans="1:15" ht="13.5">
      <c r="A19" s="373" t="s">
        <v>247</v>
      </c>
      <c r="B19" s="371">
        <v>1.411</v>
      </c>
      <c r="C19" s="465">
        <v>0</v>
      </c>
      <c r="D19" s="465">
        <v>0</v>
      </c>
      <c r="E19" s="465">
        <v>0</v>
      </c>
      <c r="F19" s="465">
        <v>0</v>
      </c>
      <c r="G19" s="465">
        <v>0</v>
      </c>
      <c r="H19" s="697">
        <v>0</v>
      </c>
      <c r="I19" s="465">
        <v>0</v>
      </c>
      <c r="J19" s="465">
        <v>0</v>
      </c>
      <c r="K19" s="465">
        <v>0</v>
      </c>
      <c r="L19" s="465">
        <v>0</v>
      </c>
      <c r="M19" s="465">
        <v>0</v>
      </c>
      <c r="N19" s="660">
        <f t="shared" si="0"/>
        <v>1.411</v>
      </c>
    </row>
    <row r="20" spans="1:15" s="231" customFormat="1">
      <c r="A20" s="579" t="s">
        <v>166</v>
      </c>
      <c r="B20" s="371">
        <v>0</v>
      </c>
      <c r="C20" s="465">
        <v>0</v>
      </c>
      <c r="D20" s="465">
        <v>0</v>
      </c>
      <c r="E20" s="465">
        <v>0</v>
      </c>
      <c r="F20" s="465">
        <v>0</v>
      </c>
      <c r="G20" s="465">
        <v>0</v>
      </c>
      <c r="H20" s="697">
        <v>0</v>
      </c>
      <c r="I20" s="465">
        <v>0</v>
      </c>
      <c r="J20" s="465">
        <v>0</v>
      </c>
      <c r="K20" s="465">
        <v>0</v>
      </c>
      <c r="L20" s="465">
        <v>0</v>
      </c>
      <c r="M20" s="465">
        <v>0</v>
      </c>
      <c r="N20" s="661">
        <f t="shared" si="0"/>
        <v>0</v>
      </c>
    </row>
    <row r="21" spans="1:15" ht="12.75">
      <c r="A21" s="349" t="s">
        <v>248</v>
      </c>
      <c r="B21" s="371">
        <v>0</v>
      </c>
      <c r="C21" s="465">
        <v>0</v>
      </c>
      <c r="D21" s="465">
        <v>0</v>
      </c>
      <c r="E21" s="465">
        <v>0</v>
      </c>
      <c r="F21" s="465">
        <v>0</v>
      </c>
      <c r="G21" s="465">
        <v>0</v>
      </c>
      <c r="H21" s="697">
        <v>0</v>
      </c>
      <c r="I21" s="465">
        <v>0</v>
      </c>
      <c r="J21" s="465">
        <v>0</v>
      </c>
      <c r="K21" s="465">
        <v>0</v>
      </c>
      <c r="L21" s="465">
        <v>0</v>
      </c>
      <c r="M21" s="465">
        <v>0</v>
      </c>
      <c r="N21" s="660">
        <f t="shared" si="0"/>
        <v>0</v>
      </c>
    </row>
    <row r="22" spans="1:15" ht="13.5">
      <c r="A22" s="373" t="s">
        <v>249</v>
      </c>
      <c r="B22" s="371">
        <v>5.6070000000000002</v>
      </c>
      <c r="C22" s="465">
        <v>0</v>
      </c>
      <c r="D22" s="465">
        <v>0</v>
      </c>
      <c r="E22" s="465">
        <v>0</v>
      </c>
      <c r="F22" s="465">
        <v>0</v>
      </c>
      <c r="G22" s="465">
        <v>0</v>
      </c>
      <c r="H22" s="697">
        <v>0</v>
      </c>
      <c r="I22" s="465">
        <v>0</v>
      </c>
      <c r="J22" s="465">
        <v>0</v>
      </c>
      <c r="K22" s="465">
        <v>0</v>
      </c>
      <c r="L22" s="465">
        <v>0</v>
      </c>
      <c r="M22" s="465">
        <v>0</v>
      </c>
      <c r="N22" s="660">
        <f t="shared" si="0"/>
        <v>5.6070000000000002</v>
      </c>
    </row>
    <row r="23" spans="1:15">
      <c r="A23" s="373" t="s">
        <v>250</v>
      </c>
      <c r="B23" s="371">
        <v>28.658000000000001</v>
      </c>
      <c r="C23" s="465">
        <v>0</v>
      </c>
      <c r="D23" s="465">
        <v>0</v>
      </c>
      <c r="E23" s="465">
        <v>0</v>
      </c>
      <c r="F23" s="465">
        <v>0</v>
      </c>
      <c r="G23" s="465">
        <v>0</v>
      </c>
      <c r="H23" s="697">
        <v>0</v>
      </c>
      <c r="I23" s="465">
        <v>0</v>
      </c>
      <c r="J23" s="465">
        <v>0</v>
      </c>
      <c r="K23" s="465">
        <v>0</v>
      </c>
      <c r="L23" s="465">
        <v>0</v>
      </c>
      <c r="M23" s="465">
        <v>0</v>
      </c>
      <c r="N23" s="660">
        <f t="shared" si="0"/>
        <v>28.658000000000001</v>
      </c>
    </row>
    <row r="24" spans="1:15">
      <c r="A24" s="373" t="s">
        <v>251</v>
      </c>
      <c r="B24" s="371">
        <v>40.093000000000004</v>
      </c>
      <c r="C24" s="465">
        <v>0</v>
      </c>
      <c r="D24" s="465">
        <v>0</v>
      </c>
      <c r="E24" s="465">
        <v>0</v>
      </c>
      <c r="F24" s="465">
        <v>0</v>
      </c>
      <c r="G24" s="465">
        <v>0</v>
      </c>
      <c r="H24" s="697">
        <v>0</v>
      </c>
      <c r="I24" s="465">
        <v>0</v>
      </c>
      <c r="J24" s="465">
        <v>0</v>
      </c>
      <c r="K24" s="465">
        <v>0</v>
      </c>
      <c r="L24" s="465">
        <v>0</v>
      </c>
      <c r="M24" s="465">
        <v>0</v>
      </c>
      <c r="N24" s="660">
        <f t="shared" si="0"/>
        <v>40.093000000000004</v>
      </c>
    </row>
    <row r="25" spans="1:15" ht="13.5">
      <c r="A25" s="373" t="s">
        <v>252</v>
      </c>
      <c r="B25" s="371">
        <v>76.793999999999997</v>
      </c>
      <c r="C25" s="465">
        <v>0</v>
      </c>
      <c r="D25" s="465">
        <v>0</v>
      </c>
      <c r="E25" s="465">
        <v>0</v>
      </c>
      <c r="F25" s="465">
        <v>0</v>
      </c>
      <c r="G25" s="465">
        <v>0</v>
      </c>
      <c r="H25" s="697">
        <v>0</v>
      </c>
      <c r="I25" s="465">
        <v>0</v>
      </c>
      <c r="J25" s="465">
        <v>0</v>
      </c>
      <c r="K25" s="465">
        <v>0</v>
      </c>
      <c r="L25" s="465">
        <v>0</v>
      </c>
      <c r="M25" s="465">
        <v>0</v>
      </c>
      <c r="N25" s="660">
        <f t="shared" si="0"/>
        <v>76.793999999999997</v>
      </c>
    </row>
    <row r="26" spans="1:15" s="244" customFormat="1">
      <c r="A26" s="373" t="s">
        <v>226</v>
      </c>
      <c r="B26" s="371">
        <v>0</v>
      </c>
      <c r="C26" s="465">
        <v>0</v>
      </c>
      <c r="D26" s="465">
        <v>0</v>
      </c>
      <c r="E26" s="465">
        <v>0</v>
      </c>
      <c r="F26" s="465">
        <v>0</v>
      </c>
      <c r="G26" s="465">
        <v>0</v>
      </c>
      <c r="H26" s="697">
        <v>0</v>
      </c>
      <c r="I26" s="465">
        <v>0</v>
      </c>
      <c r="J26" s="465">
        <v>0</v>
      </c>
      <c r="K26" s="465">
        <v>0</v>
      </c>
      <c r="L26" s="465">
        <v>0</v>
      </c>
      <c r="M26" s="465">
        <v>0</v>
      </c>
      <c r="N26" s="660">
        <f t="shared" si="0"/>
        <v>0</v>
      </c>
      <c r="O26" s="229"/>
    </row>
    <row r="27" spans="1:15" s="244" customFormat="1">
      <c r="A27" s="597" t="s">
        <v>253</v>
      </c>
      <c r="B27" s="371">
        <v>0</v>
      </c>
      <c r="C27" s="465">
        <v>0</v>
      </c>
      <c r="D27" s="465">
        <v>0</v>
      </c>
      <c r="E27" s="465">
        <v>0</v>
      </c>
      <c r="F27" s="465">
        <v>0</v>
      </c>
      <c r="G27" s="465">
        <v>0</v>
      </c>
      <c r="H27" s="697">
        <v>0</v>
      </c>
      <c r="I27" s="465">
        <v>0</v>
      </c>
      <c r="J27" s="465">
        <v>0</v>
      </c>
      <c r="K27" s="465">
        <v>0</v>
      </c>
      <c r="L27" s="465">
        <v>0</v>
      </c>
      <c r="M27" s="465">
        <v>0</v>
      </c>
      <c r="N27" s="660">
        <f t="shared" si="0"/>
        <v>0</v>
      </c>
      <c r="O27" s="229"/>
    </row>
    <row r="28" spans="1:15" s="244" customFormat="1" ht="13.5">
      <c r="A28" s="373" t="s">
        <v>254</v>
      </c>
      <c r="B28" s="371">
        <v>-64.463999999999999</v>
      </c>
      <c r="C28" s="465">
        <v>0</v>
      </c>
      <c r="D28" s="465">
        <v>0</v>
      </c>
      <c r="E28" s="465">
        <v>0</v>
      </c>
      <c r="F28" s="465">
        <v>0</v>
      </c>
      <c r="G28" s="465">
        <v>0</v>
      </c>
      <c r="H28" s="697">
        <v>0</v>
      </c>
      <c r="I28" s="465">
        <v>0</v>
      </c>
      <c r="J28" s="465">
        <v>0</v>
      </c>
      <c r="K28" s="465">
        <v>0</v>
      </c>
      <c r="L28" s="465">
        <v>0</v>
      </c>
      <c r="M28" s="465">
        <v>0</v>
      </c>
      <c r="N28" s="660">
        <f t="shared" si="0"/>
        <v>-64.463999999999999</v>
      </c>
    </row>
    <row r="29" spans="1:15" s="244" customFormat="1" ht="13.5">
      <c r="A29" s="373" t="s">
        <v>255</v>
      </c>
      <c r="B29" s="371">
        <v>-40.746000000000002</v>
      </c>
      <c r="C29" s="465">
        <v>0</v>
      </c>
      <c r="D29" s="465">
        <v>0</v>
      </c>
      <c r="E29" s="465">
        <v>0</v>
      </c>
      <c r="F29" s="465">
        <v>0</v>
      </c>
      <c r="G29" s="465">
        <v>0</v>
      </c>
      <c r="H29" s="697">
        <v>0</v>
      </c>
      <c r="I29" s="465">
        <v>0</v>
      </c>
      <c r="J29" s="465">
        <v>0</v>
      </c>
      <c r="K29" s="465">
        <v>0</v>
      </c>
      <c r="L29" s="465">
        <v>0</v>
      </c>
      <c r="M29" s="465">
        <v>0</v>
      </c>
      <c r="N29" s="660">
        <f t="shared" si="0"/>
        <v>-40.746000000000002</v>
      </c>
    </row>
    <row r="30" spans="1:15" s="244" customFormat="1" ht="13.5">
      <c r="A30" s="373" t="s">
        <v>256</v>
      </c>
      <c r="B30" s="371">
        <v>0</v>
      </c>
      <c r="C30" s="465">
        <v>0</v>
      </c>
      <c r="D30" s="465">
        <v>0</v>
      </c>
      <c r="E30" s="465">
        <v>0</v>
      </c>
      <c r="F30" s="465">
        <v>0</v>
      </c>
      <c r="G30" s="465">
        <v>0</v>
      </c>
      <c r="H30" s="697">
        <v>0</v>
      </c>
      <c r="I30" s="465">
        <v>0</v>
      </c>
      <c r="J30" s="465">
        <v>0</v>
      </c>
      <c r="K30" s="465">
        <v>0</v>
      </c>
      <c r="L30" s="465">
        <v>0</v>
      </c>
      <c r="M30" s="465">
        <v>0</v>
      </c>
      <c r="N30" s="660">
        <f t="shared" si="0"/>
        <v>0</v>
      </c>
    </row>
    <row r="31" spans="1:15" s="244" customFormat="1">
      <c r="A31" s="373" t="s">
        <v>257</v>
      </c>
      <c r="B31" s="371">
        <v>14.26</v>
      </c>
      <c r="C31" s="465">
        <v>0</v>
      </c>
      <c r="D31" s="465">
        <v>0</v>
      </c>
      <c r="E31" s="465">
        <v>0</v>
      </c>
      <c r="F31" s="465">
        <v>0</v>
      </c>
      <c r="G31" s="465">
        <v>0</v>
      </c>
      <c r="H31" s="697">
        <v>0</v>
      </c>
      <c r="I31" s="465">
        <v>0</v>
      </c>
      <c r="J31" s="465">
        <v>0</v>
      </c>
      <c r="K31" s="465">
        <v>0</v>
      </c>
      <c r="L31" s="465">
        <v>0</v>
      </c>
      <c r="M31" s="465">
        <v>0</v>
      </c>
      <c r="N31" s="660">
        <f t="shared" si="0"/>
        <v>14.26</v>
      </c>
    </row>
    <row r="32" spans="1:15" s="244" customFormat="1">
      <c r="A32" s="373" t="s">
        <v>258</v>
      </c>
      <c r="B32" s="371">
        <v>0</v>
      </c>
      <c r="C32" s="465">
        <v>0</v>
      </c>
      <c r="D32" s="465">
        <v>0</v>
      </c>
      <c r="E32" s="465">
        <v>0</v>
      </c>
      <c r="F32" s="465">
        <v>0</v>
      </c>
      <c r="G32" s="465">
        <v>0</v>
      </c>
      <c r="H32" s="697">
        <v>0</v>
      </c>
      <c r="I32" s="465">
        <v>0</v>
      </c>
      <c r="J32" s="465">
        <v>0</v>
      </c>
      <c r="K32" s="465">
        <v>0</v>
      </c>
      <c r="L32" s="465">
        <v>0</v>
      </c>
      <c r="M32" s="465">
        <v>0</v>
      </c>
      <c r="N32" s="660">
        <f t="shared" si="0"/>
        <v>0</v>
      </c>
    </row>
    <row r="33" spans="1:15" s="244" customFormat="1">
      <c r="A33" s="373" t="s">
        <v>259</v>
      </c>
      <c r="B33" s="469">
        <v>8.4019999999999992</v>
      </c>
      <c r="C33" s="470">
        <v>0</v>
      </c>
      <c r="D33" s="470">
        <v>0</v>
      </c>
      <c r="E33" s="470">
        <v>0</v>
      </c>
      <c r="F33" s="470">
        <v>0</v>
      </c>
      <c r="G33" s="470">
        <v>0</v>
      </c>
      <c r="H33" s="698">
        <v>0</v>
      </c>
      <c r="I33" s="470">
        <v>0</v>
      </c>
      <c r="J33" s="470">
        <v>0</v>
      </c>
      <c r="K33" s="470">
        <v>0</v>
      </c>
      <c r="L33" s="470">
        <v>0</v>
      </c>
      <c r="M33" s="470">
        <v>0</v>
      </c>
      <c r="N33" s="660">
        <f t="shared" si="0"/>
        <v>8.4019999999999992</v>
      </c>
    </row>
    <row r="34" spans="1:15" ht="12.75" thickBot="1">
      <c r="A34" s="389" t="s">
        <v>260</v>
      </c>
      <c r="B34" s="598">
        <f t="shared" ref="B34:N34" si="1">SUM(B9:B33)</f>
        <v>203.04099999999997</v>
      </c>
      <c r="C34" s="599">
        <f t="shared" si="1"/>
        <v>0</v>
      </c>
      <c r="D34" s="599">
        <f t="shared" si="1"/>
        <v>0</v>
      </c>
      <c r="E34" s="599">
        <f t="shared" si="1"/>
        <v>0</v>
      </c>
      <c r="F34" s="599">
        <f t="shared" si="1"/>
        <v>0</v>
      </c>
      <c r="G34" s="599">
        <f t="shared" si="1"/>
        <v>0</v>
      </c>
      <c r="H34" s="699">
        <f t="shared" si="1"/>
        <v>0</v>
      </c>
      <c r="I34" s="599">
        <f t="shared" si="1"/>
        <v>0</v>
      </c>
      <c r="J34" s="599">
        <f t="shared" si="1"/>
        <v>0</v>
      </c>
      <c r="K34" s="599">
        <f t="shared" si="1"/>
        <v>0</v>
      </c>
      <c r="L34" s="599">
        <f t="shared" si="1"/>
        <v>0</v>
      </c>
      <c r="M34" s="599">
        <f t="shared" si="1"/>
        <v>0</v>
      </c>
      <c r="N34" s="662">
        <f t="shared" si="1"/>
        <v>203.04099999999997</v>
      </c>
    </row>
    <row r="35" spans="1:15">
      <c r="A35" s="373"/>
      <c r="B35" s="371"/>
      <c r="C35" s="243"/>
      <c r="D35" s="243"/>
      <c r="E35" s="243"/>
      <c r="F35" s="243"/>
      <c r="G35" s="243"/>
      <c r="H35" s="700"/>
      <c r="I35" s="243"/>
      <c r="J35" s="243"/>
      <c r="K35" s="243"/>
      <c r="L35" s="243"/>
      <c r="M35" s="243"/>
      <c r="N35" s="660"/>
    </row>
    <row r="36" spans="1:15" s="244" customFormat="1">
      <c r="A36" s="372" t="s">
        <v>261</v>
      </c>
      <c r="B36" s="371"/>
      <c r="C36" s="243"/>
      <c r="D36" s="243"/>
      <c r="E36" s="243"/>
      <c r="F36" s="243"/>
      <c r="G36" s="243"/>
      <c r="H36" s="700"/>
      <c r="I36" s="243"/>
      <c r="J36" s="243"/>
      <c r="K36" s="243"/>
      <c r="L36" s="243"/>
      <c r="M36" s="243"/>
      <c r="N36" s="663"/>
      <c r="O36" s="229"/>
    </row>
    <row r="37" spans="1:15">
      <c r="A37" s="373" t="s">
        <v>240</v>
      </c>
      <c r="B37" s="467">
        <v>0</v>
      </c>
      <c r="C37" s="468">
        <v>0</v>
      </c>
      <c r="D37" s="468">
        <v>0</v>
      </c>
      <c r="E37" s="468">
        <v>0</v>
      </c>
      <c r="F37" s="468">
        <v>0</v>
      </c>
      <c r="G37" s="468">
        <v>0</v>
      </c>
      <c r="H37" s="696">
        <v>0</v>
      </c>
      <c r="I37" s="468">
        <v>0</v>
      </c>
      <c r="J37" s="468">
        <v>0</v>
      </c>
      <c r="K37" s="468">
        <v>0</v>
      </c>
      <c r="L37" s="468">
        <v>0</v>
      </c>
      <c r="M37" s="468">
        <v>0</v>
      </c>
      <c r="N37" s="660">
        <f t="shared" ref="N37:N46" si="2">B37+C37+D37+E37+F37+G37+H37+I37+J37+K37+L37+M37</f>
        <v>0</v>
      </c>
    </row>
    <row r="38" spans="1:15" s="231" customFormat="1" ht="14.25">
      <c r="A38" s="374" t="s">
        <v>262</v>
      </c>
      <c r="B38" s="606">
        <v>4.1000000000000002E-2</v>
      </c>
      <c r="C38" s="465">
        <v>0</v>
      </c>
      <c r="D38" s="465">
        <v>0</v>
      </c>
      <c r="E38" s="465">
        <v>0</v>
      </c>
      <c r="F38" s="465">
        <v>0</v>
      </c>
      <c r="G38" s="465">
        <v>0</v>
      </c>
      <c r="H38" s="697">
        <v>0</v>
      </c>
      <c r="I38" s="465">
        <v>0</v>
      </c>
      <c r="J38" s="465">
        <v>0</v>
      </c>
      <c r="K38" s="465">
        <v>0</v>
      </c>
      <c r="L38" s="465">
        <v>0</v>
      </c>
      <c r="M38" s="465">
        <v>0</v>
      </c>
      <c r="N38" s="661">
        <f t="shared" si="2"/>
        <v>4.1000000000000002E-2</v>
      </c>
    </row>
    <row r="39" spans="1:15">
      <c r="A39" s="373" t="s">
        <v>199</v>
      </c>
      <c r="B39" s="371">
        <v>7.4930000000000003</v>
      </c>
      <c r="C39" s="465">
        <v>0</v>
      </c>
      <c r="D39" s="465">
        <v>0</v>
      </c>
      <c r="E39" s="465">
        <v>0</v>
      </c>
      <c r="F39" s="465">
        <v>0</v>
      </c>
      <c r="G39" s="465">
        <v>0</v>
      </c>
      <c r="H39" s="697">
        <v>0</v>
      </c>
      <c r="I39" s="465">
        <v>0</v>
      </c>
      <c r="J39" s="465">
        <v>0</v>
      </c>
      <c r="K39" s="465">
        <v>0</v>
      </c>
      <c r="L39" s="465">
        <v>0</v>
      </c>
      <c r="M39" s="465">
        <v>0</v>
      </c>
      <c r="N39" s="660">
        <f t="shared" si="2"/>
        <v>7.4930000000000003</v>
      </c>
    </row>
    <row r="40" spans="1:15">
      <c r="A40" s="373" t="s">
        <v>263</v>
      </c>
      <c r="B40" s="371">
        <v>0</v>
      </c>
      <c r="C40" s="465">
        <v>0</v>
      </c>
      <c r="D40" s="465">
        <v>0</v>
      </c>
      <c r="E40" s="465">
        <v>0</v>
      </c>
      <c r="F40" s="465">
        <v>0</v>
      </c>
      <c r="G40" s="465">
        <v>0</v>
      </c>
      <c r="H40" s="697">
        <v>0</v>
      </c>
      <c r="I40" s="465">
        <v>0</v>
      </c>
      <c r="J40" s="465">
        <v>0</v>
      </c>
      <c r="K40" s="465">
        <v>0</v>
      </c>
      <c r="L40" s="465">
        <v>0</v>
      </c>
      <c r="M40" s="465">
        <v>0</v>
      </c>
      <c r="N40" s="660">
        <f t="shared" si="2"/>
        <v>0</v>
      </c>
    </row>
    <row r="41" spans="1:15">
      <c r="A41" s="373" t="str">
        <f>A14</f>
        <v>Demand Response Auction Mechanism (DRAM)</v>
      </c>
      <c r="B41" s="371">
        <v>20.731999999999999</v>
      </c>
      <c r="C41" s="465">
        <v>0</v>
      </c>
      <c r="D41" s="465">
        <v>0</v>
      </c>
      <c r="E41" s="465">
        <v>0</v>
      </c>
      <c r="F41" s="465">
        <v>0</v>
      </c>
      <c r="G41" s="465">
        <v>0</v>
      </c>
      <c r="H41" s="697">
        <v>0</v>
      </c>
      <c r="I41" s="465">
        <v>0</v>
      </c>
      <c r="J41" s="465">
        <v>0</v>
      </c>
      <c r="K41" s="465">
        <v>0</v>
      </c>
      <c r="L41" s="465">
        <v>0</v>
      </c>
      <c r="M41" s="465">
        <v>0</v>
      </c>
      <c r="N41" s="660">
        <f t="shared" si="2"/>
        <v>20.731999999999999</v>
      </c>
    </row>
    <row r="42" spans="1:15">
      <c r="A42" s="374" t="s">
        <v>264</v>
      </c>
      <c r="B42" s="371">
        <v>20</v>
      </c>
      <c r="C42" s="465">
        <v>0</v>
      </c>
      <c r="D42" s="465">
        <v>0</v>
      </c>
      <c r="E42" s="465">
        <v>0</v>
      </c>
      <c r="F42" s="465">
        <v>0</v>
      </c>
      <c r="G42" s="465">
        <v>0</v>
      </c>
      <c r="H42" s="697">
        <v>0</v>
      </c>
      <c r="I42" s="465">
        <v>0</v>
      </c>
      <c r="J42" s="465">
        <v>0</v>
      </c>
      <c r="K42" s="465">
        <v>0</v>
      </c>
      <c r="L42" s="465">
        <v>0</v>
      </c>
      <c r="M42" s="465">
        <v>0</v>
      </c>
      <c r="N42" s="660">
        <f t="shared" si="2"/>
        <v>20</v>
      </c>
    </row>
    <row r="43" spans="1:15">
      <c r="A43" s="373" t="s">
        <v>211</v>
      </c>
      <c r="B43" s="371">
        <v>0</v>
      </c>
      <c r="C43" s="465">
        <v>0</v>
      </c>
      <c r="D43" s="465">
        <v>0</v>
      </c>
      <c r="E43" s="465">
        <v>0</v>
      </c>
      <c r="F43" s="465">
        <v>0</v>
      </c>
      <c r="G43" s="465">
        <v>0</v>
      </c>
      <c r="H43" s="697">
        <v>0</v>
      </c>
      <c r="I43" s="465">
        <v>0</v>
      </c>
      <c r="J43" s="465">
        <v>0</v>
      </c>
      <c r="K43" s="465">
        <v>0</v>
      </c>
      <c r="L43" s="465">
        <v>0</v>
      </c>
      <c r="M43" s="465">
        <v>0</v>
      </c>
      <c r="N43" s="660">
        <f t="shared" si="2"/>
        <v>0</v>
      </c>
    </row>
    <row r="44" spans="1:15">
      <c r="A44" s="373" t="s">
        <v>246</v>
      </c>
      <c r="B44" s="371">
        <v>0</v>
      </c>
      <c r="C44" s="465">
        <v>0</v>
      </c>
      <c r="D44" s="465">
        <v>0</v>
      </c>
      <c r="E44" s="465">
        <v>0</v>
      </c>
      <c r="F44" s="465">
        <v>0</v>
      </c>
      <c r="G44" s="465">
        <v>0</v>
      </c>
      <c r="H44" s="697">
        <v>0</v>
      </c>
      <c r="I44" s="465">
        <v>0</v>
      </c>
      <c r="J44" s="465">
        <v>0</v>
      </c>
      <c r="K44" s="465">
        <v>0</v>
      </c>
      <c r="L44" s="465">
        <v>0</v>
      </c>
      <c r="M44" s="465">
        <v>0</v>
      </c>
      <c r="N44" s="660">
        <f t="shared" si="2"/>
        <v>0</v>
      </c>
    </row>
    <row r="45" spans="1:15" ht="12.75">
      <c r="A45" s="349" t="s">
        <v>265</v>
      </c>
      <c r="B45" s="371">
        <v>0</v>
      </c>
      <c r="C45" s="465">
        <v>0</v>
      </c>
      <c r="D45" s="465">
        <v>0</v>
      </c>
      <c r="E45" s="465">
        <v>0</v>
      </c>
      <c r="F45" s="465">
        <v>0</v>
      </c>
      <c r="G45" s="465">
        <v>0</v>
      </c>
      <c r="H45" s="697">
        <v>0</v>
      </c>
      <c r="I45" s="465">
        <v>0</v>
      </c>
      <c r="J45" s="465">
        <v>0</v>
      </c>
      <c r="K45" s="465">
        <v>0</v>
      </c>
      <c r="L45" s="465">
        <v>0</v>
      </c>
      <c r="M45" s="465">
        <v>0</v>
      </c>
      <c r="N45" s="660">
        <f t="shared" si="2"/>
        <v>0</v>
      </c>
    </row>
    <row r="46" spans="1:15">
      <c r="A46" s="373" t="s">
        <v>266</v>
      </c>
      <c r="B46" s="371">
        <v>0</v>
      </c>
      <c r="C46" s="465">
        <v>0</v>
      </c>
      <c r="D46" s="465">
        <v>0</v>
      </c>
      <c r="E46" s="465">
        <v>0</v>
      </c>
      <c r="F46" s="465">
        <v>0</v>
      </c>
      <c r="G46" s="465">
        <v>0</v>
      </c>
      <c r="H46" s="697">
        <v>0</v>
      </c>
      <c r="I46" s="465">
        <v>0</v>
      </c>
      <c r="J46" s="465">
        <v>0</v>
      </c>
      <c r="K46" s="465">
        <v>0</v>
      </c>
      <c r="L46" s="465">
        <v>0</v>
      </c>
      <c r="M46" s="465">
        <v>0</v>
      </c>
      <c r="N46" s="660">
        <f t="shared" si="2"/>
        <v>0</v>
      </c>
    </row>
    <row r="47" spans="1:15" ht="12.75" thickBot="1">
      <c r="A47" s="600" t="s">
        <v>267</v>
      </c>
      <c r="B47" s="607">
        <f t="shared" ref="B47:N47" si="3">SUM(B37:B46)</f>
        <v>48.265999999999998</v>
      </c>
      <c r="C47" s="608">
        <f t="shared" si="3"/>
        <v>0</v>
      </c>
      <c r="D47" s="608">
        <f t="shared" si="3"/>
        <v>0</v>
      </c>
      <c r="E47" s="608">
        <f t="shared" si="3"/>
        <v>0</v>
      </c>
      <c r="F47" s="608">
        <f t="shared" si="3"/>
        <v>0</v>
      </c>
      <c r="G47" s="608">
        <f t="shared" si="3"/>
        <v>0</v>
      </c>
      <c r="H47" s="701">
        <f t="shared" si="3"/>
        <v>0</v>
      </c>
      <c r="I47" s="608">
        <f t="shared" si="3"/>
        <v>0</v>
      </c>
      <c r="J47" s="608">
        <f t="shared" si="3"/>
        <v>0</v>
      </c>
      <c r="K47" s="608">
        <f t="shared" si="3"/>
        <v>0</v>
      </c>
      <c r="L47" s="608">
        <f t="shared" si="3"/>
        <v>0</v>
      </c>
      <c r="M47" s="608">
        <f t="shared" si="3"/>
        <v>0</v>
      </c>
      <c r="N47" s="664">
        <f t="shared" si="3"/>
        <v>48.265999999999998</v>
      </c>
    </row>
    <row r="48" spans="1:15" ht="20.25" customHeight="1" thickBot="1">
      <c r="A48" s="246" t="s">
        <v>268</v>
      </c>
      <c r="B48" s="375">
        <f t="shared" ref="B48:N48" si="4">B47+B34</f>
        <v>251.30699999999996</v>
      </c>
      <c r="C48" s="375">
        <f t="shared" si="4"/>
        <v>0</v>
      </c>
      <c r="D48" s="375">
        <f t="shared" si="4"/>
        <v>0</v>
      </c>
      <c r="E48" s="375">
        <f t="shared" si="4"/>
        <v>0</v>
      </c>
      <c r="F48" s="375">
        <f t="shared" si="4"/>
        <v>0</v>
      </c>
      <c r="G48" s="375">
        <f t="shared" si="4"/>
        <v>0</v>
      </c>
      <c r="H48" s="699">
        <f t="shared" si="4"/>
        <v>0</v>
      </c>
      <c r="I48" s="375">
        <f t="shared" si="4"/>
        <v>0</v>
      </c>
      <c r="J48" s="375">
        <f t="shared" si="4"/>
        <v>0</v>
      </c>
      <c r="K48" s="375">
        <f t="shared" si="4"/>
        <v>0</v>
      </c>
      <c r="L48" s="375">
        <f t="shared" si="4"/>
        <v>0</v>
      </c>
      <c r="M48" s="375">
        <f t="shared" si="4"/>
        <v>0</v>
      </c>
      <c r="N48" s="665">
        <f t="shared" si="4"/>
        <v>251.30699999999996</v>
      </c>
    </row>
    <row r="49" spans="1:14" ht="16.149999999999999" customHeight="1">
      <c r="A49" s="247"/>
      <c r="B49" s="245"/>
      <c r="C49" s="245"/>
      <c r="D49" s="245"/>
      <c r="E49" s="245"/>
      <c r="F49" s="245"/>
      <c r="G49" s="245"/>
      <c r="H49" s="702"/>
      <c r="I49" s="245"/>
      <c r="J49" s="248"/>
      <c r="K49" s="245"/>
      <c r="L49" s="245"/>
      <c r="M49" s="245"/>
      <c r="N49" s="666"/>
    </row>
    <row r="50" spans="1:14" ht="30.4" customHeight="1" thickBot="1">
      <c r="A50" s="249" t="s">
        <v>269</v>
      </c>
      <c r="B50" s="250">
        <f>B48+0.2</f>
        <v>251.50699999999995</v>
      </c>
      <c r="C50" s="251">
        <v>0</v>
      </c>
      <c r="D50" s="251">
        <v>0</v>
      </c>
      <c r="E50" s="432">
        <v>0</v>
      </c>
      <c r="F50" s="251">
        <v>0</v>
      </c>
      <c r="G50" s="251">
        <v>0</v>
      </c>
      <c r="H50" s="703">
        <v>0</v>
      </c>
      <c r="I50" s="251">
        <v>0</v>
      </c>
      <c r="J50" s="251">
        <v>0</v>
      </c>
      <c r="K50" s="251">
        <v>0</v>
      </c>
      <c r="L50" s="251">
        <v>0</v>
      </c>
      <c r="M50" s="251">
        <v>0</v>
      </c>
      <c r="N50" s="667">
        <v>0</v>
      </c>
    </row>
    <row r="51" spans="1:14" ht="12.75" customHeight="1">
      <c r="A51" s="287"/>
      <c r="B51" s="288"/>
      <c r="C51" s="288"/>
      <c r="D51" s="288"/>
      <c r="E51" s="288"/>
      <c r="F51" s="288"/>
      <c r="G51" s="288"/>
      <c r="H51" s="288"/>
      <c r="I51" s="288"/>
      <c r="J51" s="288"/>
      <c r="K51" s="288"/>
      <c r="L51" s="288"/>
      <c r="M51" s="288"/>
      <c r="N51" s="289"/>
    </row>
    <row r="52" spans="1:14" ht="12.75" customHeight="1">
      <c r="A52" s="618" t="s">
        <v>101</v>
      </c>
      <c r="B52" s="288"/>
      <c r="C52" s="288"/>
      <c r="D52" s="288"/>
      <c r="E52" s="288"/>
      <c r="F52" s="288"/>
      <c r="G52" s="288"/>
      <c r="H52" s="288"/>
      <c r="I52" s="288"/>
      <c r="J52" s="288"/>
      <c r="K52" s="288"/>
      <c r="L52" s="288"/>
      <c r="M52" s="288"/>
      <c r="N52" s="289"/>
    </row>
    <row r="53" spans="1:14" s="244" customFormat="1" ht="16.5">
      <c r="A53" s="564" t="s">
        <v>270</v>
      </c>
      <c r="G53" s="243"/>
      <c r="H53" s="243"/>
      <c r="J53" s="322"/>
    </row>
    <row r="54" spans="1:14" s="244" customFormat="1" ht="16.5">
      <c r="A54" s="564"/>
      <c r="G54" s="243"/>
      <c r="H54" s="243"/>
      <c r="J54" s="322"/>
    </row>
    <row r="55" spans="1:14" ht="15">
      <c r="A55" s="262" t="s">
        <v>72</v>
      </c>
    </row>
    <row r="56" spans="1:14" ht="16.5">
      <c r="A56" s="577" t="s">
        <v>56</v>
      </c>
      <c r="B56" s="142"/>
      <c r="C56" s="142"/>
      <c r="D56" s="142"/>
      <c r="E56" s="142"/>
      <c r="F56" s="142"/>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9"/>
  <sheetViews>
    <sheetView showGridLines="0" zoomScaleNormal="100" zoomScaleSheetLayoutView="75" workbookViewId="0">
      <selection activeCell="P37" sqref="P37"/>
    </sheetView>
  </sheetViews>
  <sheetFormatPr defaultColWidth="9.140625" defaultRowHeight="12.75"/>
  <cols>
    <col min="1" max="1" width="39.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3" width="11" style="20" customWidth="1"/>
    <col min="14" max="14" width="15.7109375" style="20" bestFit="1" customWidth="1"/>
    <col min="15" max="15" width="9.7109375" style="20" bestFit="1" customWidth="1"/>
    <col min="16" max="16" width="9.140625" style="20"/>
    <col min="17" max="17" width="22.28515625" style="20" customWidth="1"/>
    <col min="18" max="16384" width="9.140625" style="20"/>
  </cols>
  <sheetData>
    <row r="2" spans="1:14">
      <c r="E2" s="162" t="s">
        <v>39</v>
      </c>
    </row>
    <row r="3" spans="1:14">
      <c r="C3" s="174"/>
      <c r="D3" s="174"/>
      <c r="E3" s="175" t="s">
        <v>271</v>
      </c>
      <c r="F3" s="174"/>
      <c r="G3" s="174"/>
    </row>
    <row r="4" spans="1:14">
      <c r="A4" s="26"/>
      <c r="D4" s="174"/>
      <c r="E4" s="165" t="str">
        <f>'Program MW '!H3</f>
        <v>January 2020</v>
      </c>
      <c r="F4" s="174"/>
    </row>
    <row r="5" spans="1:14">
      <c r="A5" s="609"/>
      <c r="E5" s="165"/>
    </row>
    <row r="6" spans="1:14" ht="13.5" thickBot="1">
      <c r="A6" s="26"/>
      <c r="E6" s="165"/>
    </row>
    <row r="7" spans="1:14" ht="31.9" customHeight="1">
      <c r="A7" s="27" t="s">
        <v>237</v>
      </c>
      <c r="B7" s="28" t="s">
        <v>42</v>
      </c>
      <c r="C7" s="28" t="s">
        <v>43</v>
      </c>
      <c r="D7" s="28" t="s">
        <v>44</v>
      </c>
      <c r="E7" s="28" t="s">
        <v>45</v>
      </c>
      <c r="F7" s="28" t="s">
        <v>31</v>
      </c>
      <c r="G7" s="28" t="s">
        <v>46</v>
      </c>
      <c r="H7" s="28" t="s">
        <v>62</v>
      </c>
      <c r="I7" s="28" t="s">
        <v>118</v>
      </c>
      <c r="J7" s="28" t="s">
        <v>119</v>
      </c>
      <c r="K7" s="28" t="s">
        <v>65</v>
      </c>
      <c r="L7" s="28" t="s">
        <v>120</v>
      </c>
      <c r="M7" s="28" t="s">
        <v>67</v>
      </c>
      <c r="N7" s="29" t="s">
        <v>272</v>
      </c>
    </row>
    <row r="8" spans="1:14" ht="16.5">
      <c r="A8" s="30" t="s">
        <v>273</v>
      </c>
      <c r="N8" s="31"/>
    </row>
    <row r="9" spans="1:14" ht="6" customHeight="1">
      <c r="A9" s="32"/>
      <c r="N9" s="31"/>
    </row>
    <row r="10" spans="1:14">
      <c r="A10" s="32" t="s">
        <v>239</v>
      </c>
      <c r="N10" s="31"/>
    </row>
    <row r="11" spans="1:14" ht="14.25" customHeight="1">
      <c r="A11" s="33" t="s">
        <v>274</v>
      </c>
      <c r="B11" s="263">
        <v>2.2410000000000001</v>
      </c>
      <c r="C11" s="263">
        <v>0</v>
      </c>
      <c r="D11" s="263">
        <v>0</v>
      </c>
      <c r="E11" s="263">
        <v>0</v>
      </c>
      <c r="F11" s="263">
        <v>0</v>
      </c>
      <c r="G11" s="263">
        <v>0</v>
      </c>
      <c r="H11" s="263">
        <v>0</v>
      </c>
      <c r="I11" s="263">
        <v>0</v>
      </c>
      <c r="J11" s="263">
        <v>0</v>
      </c>
      <c r="K11" s="263">
        <v>0</v>
      </c>
      <c r="L11" s="263">
        <v>0</v>
      </c>
      <c r="M11" s="263">
        <v>0</v>
      </c>
      <c r="N11" s="35">
        <f>SUM(B11:M11)</f>
        <v>2.2410000000000001</v>
      </c>
    </row>
    <row r="12" spans="1:14">
      <c r="A12" s="33" t="s">
        <v>114</v>
      </c>
      <c r="B12" s="263">
        <v>0</v>
      </c>
      <c r="C12" s="263">
        <v>0</v>
      </c>
      <c r="D12" s="263">
        <v>0</v>
      </c>
      <c r="E12" s="263">
        <v>0</v>
      </c>
      <c r="F12" s="263">
        <v>0</v>
      </c>
      <c r="G12" s="263">
        <v>0</v>
      </c>
      <c r="H12" s="263">
        <v>0</v>
      </c>
      <c r="I12" s="263">
        <v>0</v>
      </c>
      <c r="J12" s="263">
        <v>0</v>
      </c>
      <c r="K12" s="263">
        <v>0</v>
      </c>
      <c r="L12" s="263">
        <v>0</v>
      </c>
      <c r="M12" s="263">
        <v>0</v>
      </c>
      <c r="N12" s="35">
        <f>SUM(B12:M12)</f>
        <v>0</v>
      </c>
    </row>
    <row r="13" spans="1:14">
      <c r="A13" s="33" t="s">
        <v>275</v>
      </c>
      <c r="B13" s="263">
        <v>0</v>
      </c>
      <c r="C13" s="263">
        <v>0</v>
      </c>
      <c r="D13" s="263">
        <v>0</v>
      </c>
      <c r="E13" s="263">
        <v>0</v>
      </c>
      <c r="F13" s="263">
        <v>0</v>
      </c>
      <c r="G13" s="263">
        <v>0</v>
      </c>
      <c r="H13" s="263">
        <v>0</v>
      </c>
      <c r="I13" s="263">
        <v>0</v>
      </c>
      <c r="J13" s="263">
        <v>0</v>
      </c>
      <c r="K13" s="263">
        <v>0</v>
      </c>
      <c r="L13" s="263">
        <v>0</v>
      </c>
      <c r="M13" s="263">
        <v>0</v>
      </c>
      <c r="N13" s="35">
        <f>SUM(B13:M13)</f>
        <v>0</v>
      </c>
    </row>
    <row r="14" spans="1:14">
      <c r="A14" s="24" t="s">
        <v>276</v>
      </c>
      <c r="B14" s="264">
        <f t="shared" ref="B14:M14" si="0">SUM(B11:B13)</f>
        <v>2.2410000000000001</v>
      </c>
      <c r="C14" s="264">
        <f t="shared" si="0"/>
        <v>0</v>
      </c>
      <c r="D14" s="264">
        <f t="shared" si="0"/>
        <v>0</v>
      </c>
      <c r="E14" s="264">
        <f t="shared" si="0"/>
        <v>0</v>
      </c>
      <c r="F14" s="264">
        <f t="shared" si="0"/>
        <v>0</v>
      </c>
      <c r="G14" s="264">
        <f t="shared" si="0"/>
        <v>0</v>
      </c>
      <c r="H14" s="264">
        <f t="shared" si="0"/>
        <v>0</v>
      </c>
      <c r="I14" s="264">
        <f t="shared" si="0"/>
        <v>0</v>
      </c>
      <c r="J14" s="264">
        <f t="shared" si="0"/>
        <v>0</v>
      </c>
      <c r="K14" s="264">
        <f t="shared" si="0"/>
        <v>0</v>
      </c>
      <c r="L14" s="264">
        <f t="shared" si="0"/>
        <v>0</v>
      </c>
      <c r="M14" s="264">
        <f t="shared" si="0"/>
        <v>0</v>
      </c>
      <c r="N14" s="36">
        <f>SUM(B14:M14)</f>
        <v>2.2410000000000001</v>
      </c>
    </row>
    <row r="15" spans="1:14">
      <c r="A15" s="33"/>
      <c r="B15" s="263"/>
      <c r="C15" s="263"/>
      <c r="D15" s="263"/>
      <c r="E15" s="263"/>
      <c r="F15" s="263"/>
      <c r="G15" s="263"/>
      <c r="H15" s="263"/>
      <c r="I15" s="263"/>
      <c r="J15" s="263"/>
      <c r="K15" s="263"/>
      <c r="L15" s="263"/>
      <c r="M15" s="263"/>
      <c r="N15" s="35"/>
    </row>
    <row r="16" spans="1:14">
      <c r="A16" s="32" t="s">
        <v>277</v>
      </c>
      <c r="B16" s="263"/>
      <c r="C16" s="263"/>
      <c r="D16" s="263"/>
      <c r="E16" s="263"/>
      <c r="F16" s="263"/>
      <c r="G16" s="263"/>
      <c r="H16" s="263"/>
      <c r="I16" s="263"/>
      <c r="J16" s="263"/>
      <c r="K16" s="263"/>
      <c r="L16" s="263"/>
      <c r="M16" s="263"/>
      <c r="N16" s="35"/>
    </row>
    <row r="17" spans="1:19" ht="14.25">
      <c r="A17" s="33" t="s">
        <v>278</v>
      </c>
      <c r="B17" s="263">
        <v>0</v>
      </c>
      <c r="C17" s="263">
        <v>0</v>
      </c>
      <c r="D17" s="263">
        <v>0</v>
      </c>
      <c r="E17" s="263">
        <v>0</v>
      </c>
      <c r="F17" s="263">
        <v>0</v>
      </c>
      <c r="G17" s="263">
        <v>0</v>
      </c>
      <c r="H17" s="269">
        <v>0</v>
      </c>
      <c r="I17" s="269">
        <v>0</v>
      </c>
      <c r="J17" s="269">
        <v>0</v>
      </c>
      <c r="K17" s="269">
        <v>0</v>
      </c>
      <c r="L17" s="269">
        <v>0</v>
      </c>
      <c r="M17" s="269">
        <v>0</v>
      </c>
      <c r="N17" s="35">
        <f>SUM(B17:M17)</f>
        <v>0</v>
      </c>
    </row>
    <row r="18" spans="1:19">
      <c r="A18" s="24" t="s">
        <v>279</v>
      </c>
      <c r="B18" s="264">
        <f t="shared" ref="B18:M18" si="1">SUM(B17:B17)</f>
        <v>0</v>
      </c>
      <c r="C18" s="264">
        <f t="shared" si="1"/>
        <v>0</v>
      </c>
      <c r="D18" s="264">
        <f t="shared" si="1"/>
        <v>0</v>
      </c>
      <c r="E18" s="264">
        <f t="shared" si="1"/>
        <v>0</v>
      </c>
      <c r="F18" s="264">
        <f t="shared" si="1"/>
        <v>0</v>
      </c>
      <c r="G18" s="264">
        <f t="shared" si="1"/>
        <v>0</v>
      </c>
      <c r="H18" s="264">
        <f t="shared" si="1"/>
        <v>0</v>
      </c>
      <c r="I18" s="264">
        <f t="shared" si="1"/>
        <v>0</v>
      </c>
      <c r="J18" s="264">
        <f t="shared" si="1"/>
        <v>0</v>
      </c>
      <c r="K18" s="264">
        <f t="shared" si="1"/>
        <v>0</v>
      </c>
      <c r="L18" s="264">
        <f t="shared" si="1"/>
        <v>0</v>
      </c>
      <c r="M18" s="264">
        <f t="shared" si="1"/>
        <v>0</v>
      </c>
      <c r="N18" s="36">
        <f>SUM(B18:M18)</f>
        <v>0</v>
      </c>
    </row>
    <row r="19" spans="1:19">
      <c r="A19" s="37"/>
      <c r="B19" s="263"/>
      <c r="C19" s="263"/>
      <c r="D19" s="263"/>
      <c r="E19" s="263"/>
      <c r="F19" s="263"/>
      <c r="G19" s="263"/>
      <c r="H19" s="263"/>
      <c r="I19" s="263"/>
      <c r="J19" s="263"/>
      <c r="K19" s="263"/>
      <c r="L19" s="263"/>
      <c r="M19" s="263"/>
      <c r="N19" s="35"/>
    </row>
    <row r="20" spans="1:19">
      <c r="A20" s="32" t="s">
        <v>280</v>
      </c>
      <c r="B20" s="263" t="s">
        <v>56</v>
      </c>
      <c r="C20" s="263" t="s">
        <v>56</v>
      </c>
      <c r="D20" s="263" t="s">
        <v>56</v>
      </c>
      <c r="E20" s="263"/>
      <c r="F20" s="263" t="s">
        <v>56</v>
      </c>
      <c r="G20" s="270"/>
      <c r="H20" s="263" t="s">
        <v>56</v>
      </c>
      <c r="I20" s="263" t="s">
        <v>56</v>
      </c>
      <c r="J20" s="263" t="s">
        <v>56</v>
      </c>
      <c r="K20" s="263" t="s">
        <v>56</v>
      </c>
      <c r="L20" s="263" t="s">
        <v>56</v>
      </c>
      <c r="M20" s="263" t="s">
        <v>56</v>
      </c>
      <c r="N20" s="35" t="s">
        <v>56</v>
      </c>
    </row>
    <row r="21" spans="1:19">
      <c r="A21" s="33" t="s">
        <v>281</v>
      </c>
      <c r="B21" s="263">
        <v>0</v>
      </c>
      <c r="C21" s="263">
        <v>0</v>
      </c>
      <c r="D21" s="263">
        <v>0</v>
      </c>
      <c r="E21" s="263">
        <v>0</v>
      </c>
      <c r="F21" s="263">
        <v>0</v>
      </c>
      <c r="G21" s="263">
        <v>0</v>
      </c>
      <c r="H21" s="269">
        <v>0</v>
      </c>
      <c r="I21" s="269">
        <v>0</v>
      </c>
      <c r="J21" s="269">
        <v>0</v>
      </c>
      <c r="K21" s="269">
        <v>0</v>
      </c>
      <c r="L21" s="269">
        <v>0</v>
      </c>
      <c r="M21" s="269">
        <v>0</v>
      </c>
      <c r="N21" s="35">
        <f>SUM(B21:M21)</f>
        <v>0</v>
      </c>
    </row>
    <row r="22" spans="1:19">
      <c r="A22" s="225" t="s">
        <v>282</v>
      </c>
      <c r="B22" s="264">
        <f t="shared" ref="B22:M22" si="2">SUM(B21:B21)</f>
        <v>0</v>
      </c>
      <c r="C22" s="264">
        <f t="shared" si="2"/>
        <v>0</v>
      </c>
      <c r="D22" s="264">
        <f t="shared" si="2"/>
        <v>0</v>
      </c>
      <c r="E22" s="264">
        <f t="shared" si="2"/>
        <v>0</v>
      </c>
      <c r="F22" s="264">
        <f t="shared" si="2"/>
        <v>0</v>
      </c>
      <c r="G22" s="264">
        <f t="shared" si="2"/>
        <v>0</v>
      </c>
      <c r="H22" s="264">
        <f t="shared" si="2"/>
        <v>0</v>
      </c>
      <c r="I22" s="264">
        <f t="shared" si="2"/>
        <v>0</v>
      </c>
      <c r="J22" s="264">
        <f t="shared" si="2"/>
        <v>0</v>
      </c>
      <c r="K22" s="264">
        <f t="shared" si="2"/>
        <v>0</v>
      </c>
      <c r="L22" s="264">
        <f t="shared" si="2"/>
        <v>0</v>
      </c>
      <c r="M22" s="264">
        <f t="shared" si="2"/>
        <v>0</v>
      </c>
      <c r="N22" s="36">
        <f>SUM(B22:M22)</f>
        <v>0</v>
      </c>
    </row>
    <row r="23" spans="1:19">
      <c r="A23" s="39"/>
      <c r="B23" s="263"/>
      <c r="C23" s="263"/>
      <c r="D23" s="263"/>
      <c r="E23" s="263"/>
      <c r="F23" s="263"/>
      <c r="G23" s="265"/>
      <c r="H23" s="263"/>
      <c r="I23" s="265"/>
      <c r="J23" s="263"/>
      <c r="K23" s="263"/>
      <c r="L23" s="265"/>
      <c r="M23" s="263"/>
      <c r="N23" s="35"/>
    </row>
    <row r="24" spans="1:19">
      <c r="A24" s="40" t="s">
        <v>261</v>
      </c>
      <c r="B24" s="263"/>
      <c r="C24" s="263"/>
      <c r="D24" s="263"/>
      <c r="E24" s="263"/>
      <c r="F24" s="263"/>
      <c r="G24" s="263"/>
      <c r="H24" s="263"/>
      <c r="I24" s="263"/>
      <c r="J24" s="263"/>
      <c r="K24" s="263"/>
      <c r="L24" s="263"/>
      <c r="M24" s="263"/>
      <c r="N24" s="35"/>
    </row>
    <row r="25" spans="1:19">
      <c r="A25" s="33" t="s">
        <v>113</v>
      </c>
      <c r="B25" s="263">
        <v>0</v>
      </c>
      <c r="C25" s="263">
        <v>0</v>
      </c>
      <c r="D25" s="263">
        <v>0</v>
      </c>
      <c r="E25" s="263">
        <v>0</v>
      </c>
      <c r="F25" s="263">
        <v>0</v>
      </c>
      <c r="G25" s="263">
        <v>0</v>
      </c>
      <c r="H25" s="269">
        <v>0</v>
      </c>
      <c r="I25" s="269">
        <v>0</v>
      </c>
      <c r="J25" s="269">
        <v>0</v>
      </c>
      <c r="K25" s="269">
        <v>0</v>
      </c>
      <c r="L25" s="269">
        <v>0</v>
      </c>
      <c r="M25" s="269">
        <v>0</v>
      </c>
      <c r="N25" s="35">
        <f>SUM(B25:M25)</f>
        <v>0</v>
      </c>
    </row>
    <row r="26" spans="1:19">
      <c r="A26" s="33" t="s">
        <v>114</v>
      </c>
      <c r="B26" s="263">
        <v>0</v>
      </c>
      <c r="C26" s="263">
        <v>0</v>
      </c>
      <c r="D26" s="263">
        <v>0</v>
      </c>
      <c r="E26" s="263">
        <v>0</v>
      </c>
      <c r="F26" s="263">
        <v>0</v>
      </c>
      <c r="G26" s="263">
        <v>0</v>
      </c>
      <c r="H26" s="269">
        <v>0</v>
      </c>
      <c r="I26" s="269">
        <v>0</v>
      </c>
      <c r="J26" s="269">
        <v>0</v>
      </c>
      <c r="K26" s="269">
        <v>0</v>
      </c>
      <c r="L26" s="269">
        <v>0</v>
      </c>
      <c r="M26" s="269">
        <v>0</v>
      </c>
      <c r="N26" s="35">
        <f>SUM(B26:M26)</f>
        <v>0</v>
      </c>
    </row>
    <row r="27" spans="1:19">
      <c r="A27" s="33" t="s">
        <v>275</v>
      </c>
      <c r="B27" s="263">
        <v>0</v>
      </c>
      <c r="C27" s="263">
        <v>0</v>
      </c>
      <c r="D27" s="263">
        <v>0</v>
      </c>
      <c r="E27" s="263">
        <v>0</v>
      </c>
      <c r="F27" s="263">
        <v>0</v>
      </c>
      <c r="G27" s="263">
        <v>0</v>
      </c>
      <c r="H27" s="269">
        <v>0</v>
      </c>
      <c r="I27" s="269">
        <v>0</v>
      </c>
      <c r="J27" s="269">
        <v>0</v>
      </c>
      <c r="K27" s="269">
        <v>0</v>
      </c>
      <c r="L27" s="269">
        <v>0</v>
      </c>
      <c r="M27" s="271">
        <v>0</v>
      </c>
      <c r="N27" s="35">
        <f>SUM(B27:M27)</f>
        <v>0</v>
      </c>
    </row>
    <row r="28" spans="1:19">
      <c r="A28" s="41" t="s">
        <v>267</v>
      </c>
      <c r="B28" s="264">
        <f t="shared" ref="B28:H28" si="3">SUM(B25:B27)</f>
        <v>0</v>
      </c>
      <c r="C28" s="264">
        <f t="shared" si="3"/>
        <v>0</v>
      </c>
      <c r="D28" s="264">
        <f t="shared" si="3"/>
        <v>0</v>
      </c>
      <c r="E28" s="264">
        <f t="shared" si="3"/>
        <v>0</v>
      </c>
      <c r="F28" s="264">
        <f t="shared" si="3"/>
        <v>0</v>
      </c>
      <c r="G28" s="264">
        <f t="shared" si="3"/>
        <v>0</v>
      </c>
      <c r="H28" s="264">
        <f t="shared" si="3"/>
        <v>0</v>
      </c>
      <c r="I28" s="264">
        <f>SUM(I24:I27)</f>
        <v>0</v>
      </c>
      <c r="J28" s="264">
        <f>SUM(J25:J27)</f>
        <v>0</v>
      </c>
      <c r="K28" s="264">
        <f>SUM(K25:K27)</f>
        <v>0</v>
      </c>
      <c r="L28" s="264">
        <f>SUM(L25:L27)</f>
        <v>0</v>
      </c>
      <c r="M28" s="264">
        <f>SUM(M25:M27)</f>
        <v>0</v>
      </c>
      <c r="N28" s="36">
        <f>SUM(B28:M28)</f>
        <v>0</v>
      </c>
      <c r="O28" s="34"/>
    </row>
    <row r="29" spans="1:19" ht="10.5" customHeight="1">
      <c r="A29" s="42"/>
      <c r="B29" s="265"/>
      <c r="C29" s="265"/>
      <c r="D29" s="265"/>
      <c r="E29" s="265"/>
      <c r="F29" s="265"/>
      <c r="G29" s="265"/>
      <c r="H29" s="265"/>
      <c r="I29" s="265"/>
      <c r="J29" s="265"/>
      <c r="K29" s="265"/>
      <c r="L29" s="265"/>
      <c r="M29" s="265"/>
      <c r="N29" s="43"/>
    </row>
    <row r="30" spans="1:19" ht="15" customHeight="1">
      <c r="A30" s="24" t="s">
        <v>283</v>
      </c>
      <c r="B30" s="266">
        <v>0</v>
      </c>
      <c r="C30" s="266">
        <v>0</v>
      </c>
      <c r="D30" s="266">
        <v>0</v>
      </c>
      <c r="E30" s="266">
        <v>0</v>
      </c>
      <c r="F30" s="266">
        <v>0</v>
      </c>
      <c r="G30" s="266">
        <v>0</v>
      </c>
      <c r="H30" s="266">
        <v>0</v>
      </c>
      <c r="I30" s="266">
        <v>0</v>
      </c>
      <c r="J30" s="264">
        <v>0</v>
      </c>
      <c r="K30" s="264">
        <v>0</v>
      </c>
      <c r="L30" s="266">
        <v>0</v>
      </c>
      <c r="M30" s="272">
        <v>0</v>
      </c>
      <c r="N30" s="44">
        <f>SUM(B30:M30)</f>
        <v>0</v>
      </c>
      <c r="O30" s="38"/>
      <c r="P30" s="38"/>
      <c r="Q30" s="38"/>
      <c r="R30" s="38"/>
      <c r="S30" s="45"/>
    </row>
    <row r="31" spans="1:19" ht="28.5" customHeight="1" thickBot="1">
      <c r="A31" s="25" t="s">
        <v>284</v>
      </c>
      <c r="B31" s="267">
        <f t="shared" ref="B31:M31" si="4">B14+B18+B22+B28+B30</f>
        <v>2.2410000000000001</v>
      </c>
      <c r="C31" s="267">
        <f t="shared" si="4"/>
        <v>0</v>
      </c>
      <c r="D31" s="267">
        <f t="shared" si="4"/>
        <v>0</v>
      </c>
      <c r="E31" s="267">
        <f t="shared" si="4"/>
        <v>0</v>
      </c>
      <c r="F31" s="267">
        <f t="shared" si="4"/>
        <v>0</v>
      </c>
      <c r="G31" s="267">
        <f t="shared" si="4"/>
        <v>0</v>
      </c>
      <c r="H31" s="267">
        <f t="shared" si="4"/>
        <v>0</v>
      </c>
      <c r="I31" s="267">
        <f t="shared" si="4"/>
        <v>0</v>
      </c>
      <c r="J31" s="267">
        <f t="shared" si="4"/>
        <v>0</v>
      </c>
      <c r="K31" s="267">
        <f t="shared" si="4"/>
        <v>0</v>
      </c>
      <c r="L31" s="267">
        <f t="shared" si="4"/>
        <v>0</v>
      </c>
      <c r="M31" s="267">
        <f t="shared" si="4"/>
        <v>0</v>
      </c>
      <c r="N31" s="46">
        <f>SUM(B31:M31)</f>
        <v>2.2410000000000001</v>
      </c>
      <c r="O31" s="34"/>
    </row>
    <row r="32" spans="1:19" ht="11.65" customHeight="1">
      <c r="A32" s="47"/>
      <c r="B32" s="48"/>
      <c r="C32" s="48"/>
      <c r="D32" s="268"/>
      <c r="E32" s="48"/>
      <c r="F32" s="48"/>
      <c r="G32" s="48"/>
      <c r="H32" s="48"/>
      <c r="I32" s="268"/>
      <c r="J32" s="268"/>
      <c r="K32" s="268"/>
      <c r="L32" s="268"/>
      <c r="M32" s="268"/>
      <c r="N32" s="48"/>
    </row>
    <row r="33" spans="1:14" ht="11.65" customHeight="1">
      <c r="A33" s="621" t="s">
        <v>68</v>
      </c>
      <c r="B33" s="619"/>
      <c r="C33" s="619"/>
      <c r="D33" s="620"/>
      <c r="E33" s="619"/>
      <c r="F33" s="619"/>
      <c r="G33" s="619"/>
      <c r="H33" s="619"/>
      <c r="I33" s="620"/>
      <c r="J33" s="620"/>
      <c r="K33" s="620"/>
      <c r="L33" s="620"/>
      <c r="M33" s="620"/>
      <c r="N33" s="619"/>
    </row>
    <row r="34" spans="1:14" ht="14.25">
      <c r="A34" s="677"/>
    </row>
    <row r="35" spans="1:14" ht="11.65" customHeight="1">
      <c r="A35" s="262" t="s">
        <v>72</v>
      </c>
      <c r="B35" s="34"/>
      <c r="C35" s="34"/>
      <c r="D35" s="34"/>
      <c r="E35" s="34"/>
      <c r="F35" s="34"/>
      <c r="G35" s="34"/>
      <c r="H35" s="34"/>
      <c r="I35" s="34"/>
      <c r="J35" s="34"/>
      <c r="K35" s="34"/>
      <c r="L35" s="34"/>
      <c r="M35" s="34"/>
      <c r="N35" s="34"/>
    </row>
    <row r="36" spans="1:14" ht="13.9" customHeight="1">
      <c r="A36" s="727"/>
      <c r="B36" s="727"/>
      <c r="C36" s="727"/>
      <c r="D36" s="727"/>
      <c r="E36" s="727"/>
      <c r="F36" s="727"/>
      <c r="G36" s="727"/>
      <c r="H36" s="727"/>
      <c r="I36" s="727"/>
      <c r="J36" s="727"/>
      <c r="K36" s="727"/>
      <c r="L36" s="727"/>
      <c r="M36" s="727"/>
      <c r="N36" s="727"/>
    </row>
    <row r="39" spans="1:14">
      <c r="H39" s="34"/>
    </row>
  </sheetData>
  <mergeCells count="1">
    <mergeCell ref="A36:N36"/>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5"/>
  <sheetViews>
    <sheetView showGridLines="0" topLeftCell="A6" zoomScaleNormal="100" zoomScaleSheetLayoutView="75" workbookViewId="0">
      <selection activeCell="C19" sqref="C19"/>
    </sheetView>
  </sheetViews>
  <sheetFormatPr defaultColWidth="9.140625" defaultRowHeight="12.75"/>
  <cols>
    <col min="1" max="1" width="53.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0" width="11" style="20" customWidth="1"/>
    <col min="11" max="11" width="11.5703125" style="20" customWidth="1"/>
    <col min="12" max="12" width="11" style="20" customWidth="1"/>
    <col min="13" max="13" width="12.140625" style="20" bestFit="1" customWidth="1"/>
    <col min="14" max="14" width="15.7109375" style="20" bestFit="1" customWidth="1"/>
    <col min="15" max="15" width="9.7109375" style="20" bestFit="1" customWidth="1"/>
    <col min="16" max="16" width="22.85546875" style="20" bestFit="1" customWidth="1"/>
    <col min="17" max="17" width="22.28515625" style="20" customWidth="1"/>
    <col min="18" max="16384" width="9.140625" style="20"/>
  </cols>
  <sheetData>
    <row r="3" spans="1:15">
      <c r="E3" s="162" t="s">
        <v>39</v>
      </c>
    </row>
    <row r="4" spans="1:15">
      <c r="C4" s="174"/>
      <c r="D4" s="174"/>
      <c r="E4" s="175" t="s">
        <v>285</v>
      </c>
      <c r="F4" s="174"/>
      <c r="G4" s="174"/>
    </row>
    <row r="5" spans="1:15">
      <c r="D5" s="174"/>
      <c r="E5" s="165" t="str">
        <f>'Program MW '!H3</f>
        <v>January 2020</v>
      </c>
      <c r="F5" s="174"/>
    </row>
    <row r="6" spans="1:15">
      <c r="E6" s="165"/>
    </row>
    <row r="7" spans="1:15" ht="13.5" thickBot="1">
      <c r="A7" s="26"/>
    </row>
    <row r="8" spans="1:15" ht="31.9" customHeight="1" thickBot="1">
      <c r="A8" s="458" t="s">
        <v>237</v>
      </c>
      <c r="B8" s="407" t="s">
        <v>42</v>
      </c>
      <c r="C8" s="28" t="s">
        <v>43</v>
      </c>
      <c r="D8" s="28" t="s">
        <v>44</v>
      </c>
      <c r="E8" s="28" t="s">
        <v>45</v>
      </c>
      <c r="F8" s="28" t="s">
        <v>31</v>
      </c>
      <c r="G8" s="28" t="s">
        <v>46</v>
      </c>
      <c r="H8" s="28" t="s">
        <v>62</v>
      </c>
      <c r="I8" s="28" t="s">
        <v>118</v>
      </c>
      <c r="J8" s="28" t="s">
        <v>119</v>
      </c>
      <c r="K8" s="28" t="s">
        <v>65</v>
      </c>
      <c r="L8" s="28" t="s">
        <v>120</v>
      </c>
      <c r="M8" s="408" t="s">
        <v>67</v>
      </c>
      <c r="N8" s="401" t="s">
        <v>272</v>
      </c>
    </row>
    <row r="9" spans="1:15" ht="25.5">
      <c r="A9" s="459" t="s">
        <v>286</v>
      </c>
      <c r="B9" s="682"/>
      <c r="C9" s="270"/>
      <c r="M9" s="457"/>
      <c r="N9" s="601"/>
    </row>
    <row r="10" spans="1:15" ht="6" customHeight="1">
      <c r="A10" s="390"/>
      <c r="B10" s="682"/>
      <c r="C10" s="270"/>
      <c r="M10" s="457"/>
      <c r="N10" s="602"/>
    </row>
    <row r="11" spans="1:15">
      <c r="A11" s="390" t="s">
        <v>239</v>
      </c>
      <c r="B11" s="682"/>
      <c r="C11" s="270"/>
      <c r="M11" s="457"/>
      <c r="N11" s="602"/>
    </row>
    <row r="12" spans="1:15">
      <c r="A12" s="391" t="s">
        <v>287</v>
      </c>
      <c r="B12" s="683">
        <v>0.624</v>
      </c>
      <c r="C12" s="683">
        <v>0</v>
      </c>
      <c r="D12" s="613">
        <v>0</v>
      </c>
      <c r="E12" s="613">
        <v>0</v>
      </c>
      <c r="F12" s="613">
        <v>0</v>
      </c>
      <c r="G12" s="613">
        <v>0</v>
      </c>
      <c r="H12" s="613">
        <v>0</v>
      </c>
      <c r="I12" s="613">
        <v>0</v>
      </c>
      <c r="J12" s="613">
        <v>0</v>
      </c>
      <c r="K12" s="613">
        <v>0</v>
      </c>
      <c r="L12" s="613">
        <v>0</v>
      </c>
      <c r="M12" s="613">
        <v>0</v>
      </c>
      <c r="N12" s="603">
        <f t="shared" ref="N12:N17" si="0">SUM(B12:M12)</f>
        <v>0.624</v>
      </c>
    </row>
    <row r="13" spans="1:15" ht="14.25">
      <c r="A13" s="391" t="s">
        <v>288</v>
      </c>
      <c r="B13" s="683">
        <v>41.542999999999999</v>
      </c>
      <c r="C13" s="683">
        <v>0</v>
      </c>
      <c r="D13" s="613">
        <v>0</v>
      </c>
      <c r="E13" s="613">
        <v>0</v>
      </c>
      <c r="F13" s="613">
        <v>0</v>
      </c>
      <c r="G13" s="613">
        <v>0</v>
      </c>
      <c r="H13" s="613">
        <v>0</v>
      </c>
      <c r="I13" s="613">
        <v>0</v>
      </c>
      <c r="J13" s="613">
        <v>0</v>
      </c>
      <c r="K13" s="613">
        <v>0</v>
      </c>
      <c r="L13" s="613">
        <v>0</v>
      </c>
      <c r="M13" s="613">
        <v>0</v>
      </c>
      <c r="N13" s="603">
        <f t="shared" si="0"/>
        <v>41.542999999999999</v>
      </c>
    </row>
    <row r="14" spans="1:15">
      <c r="A14" s="391" t="s">
        <v>289</v>
      </c>
      <c r="B14" s="683">
        <v>0</v>
      </c>
      <c r="C14" s="683">
        <v>0</v>
      </c>
      <c r="D14" s="613">
        <v>0</v>
      </c>
      <c r="E14" s="613">
        <v>0</v>
      </c>
      <c r="F14" s="613">
        <v>0</v>
      </c>
      <c r="G14" s="613">
        <v>0</v>
      </c>
      <c r="H14" s="613">
        <v>0</v>
      </c>
      <c r="I14" s="613">
        <v>0</v>
      </c>
      <c r="J14" s="613">
        <v>0</v>
      </c>
      <c r="K14" s="613">
        <v>0</v>
      </c>
      <c r="L14" s="613">
        <v>0</v>
      </c>
      <c r="M14" s="613">
        <v>0</v>
      </c>
      <c r="N14" s="603">
        <f t="shared" si="0"/>
        <v>0</v>
      </c>
    </row>
    <row r="15" spans="1:15" ht="14.25">
      <c r="A15" s="391" t="s">
        <v>290</v>
      </c>
      <c r="B15" s="683">
        <v>0</v>
      </c>
      <c r="C15" s="683">
        <v>0</v>
      </c>
      <c r="D15" s="613">
        <v>0</v>
      </c>
      <c r="E15" s="613">
        <v>0</v>
      </c>
      <c r="F15" s="613">
        <v>0</v>
      </c>
      <c r="G15" s="613">
        <v>0</v>
      </c>
      <c r="H15" s="613">
        <v>0</v>
      </c>
      <c r="I15" s="613">
        <v>0</v>
      </c>
      <c r="J15" s="613">
        <v>0</v>
      </c>
      <c r="K15" s="613">
        <v>0</v>
      </c>
      <c r="L15" s="613">
        <v>0</v>
      </c>
      <c r="M15" s="613">
        <v>0</v>
      </c>
      <c r="N15" s="603">
        <f t="shared" si="0"/>
        <v>0</v>
      </c>
    </row>
    <row r="16" spans="1:15" ht="14.25">
      <c r="A16" s="460" t="s">
        <v>291</v>
      </c>
      <c r="B16" s="683">
        <v>0</v>
      </c>
      <c r="C16" s="683">
        <v>0</v>
      </c>
      <c r="D16" s="613">
        <v>0</v>
      </c>
      <c r="E16" s="613">
        <v>0</v>
      </c>
      <c r="F16" s="613">
        <v>0</v>
      </c>
      <c r="G16" s="613">
        <v>0</v>
      </c>
      <c r="H16" s="613">
        <v>0</v>
      </c>
      <c r="I16" s="613">
        <v>0</v>
      </c>
      <c r="J16" s="613">
        <v>0</v>
      </c>
      <c r="K16" s="613">
        <v>0</v>
      </c>
      <c r="L16" s="613">
        <v>0</v>
      </c>
      <c r="M16" s="613">
        <v>0</v>
      </c>
      <c r="N16" s="604">
        <f t="shared" si="0"/>
        <v>0</v>
      </c>
      <c r="O16" s="34"/>
    </row>
    <row r="17" spans="1:16">
      <c r="A17" s="605" t="s">
        <v>276</v>
      </c>
      <c r="B17" s="684">
        <f t="shared" ref="B17:M17" si="1">SUM(B12:B16)</f>
        <v>42.167000000000002</v>
      </c>
      <c r="C17" s="685">
        <f t="shared" si="1"/>
        <v>0</v>
      </c>
      <c r="D17" s="264">
        <f t="shared" si="1"/>
        <v>0</v>
      </c>
      <c r="E17" s="264">
        <f t="shared" si="1"/>
        <v>0</v>
      </c>
      <c r="F17" s="264">
        <f t="shared" si="1"/>
        <v>0</v>
      </c>
      <c r="G17" s="264">
        <f t="shared" si="1"/>
        <v>0</v>
      </c>
      <c r="H17" s="264">
        <f t="shared" si="1"/>
        <v>0</v>
      </c>
      <c r="I17" s="264">
        <f t="shared" si="1"/>
        <v>0</v>
      </c>
      <c r="J17" s="264">
        <f t="shared" si="1"/>
        <v>0</v>
      </c>
      <c r="K17" s="264">
        <f t="shared" si="1"/>
        <v>0</v>
      </c>
      <c r="L17" s="264">
        <f t="shared" si="1"/>
        <v>0</v>
      </c>
      <c r="M17" s="614">
        <f t="shared" si="1"/>
        <v>0</v>
      </c>
      <c r="N17" s="403">
        <f t="shared" si="0"/>
        <v>42.167000000000002</v>
      </c>
    </row>
    <row r="18" spans="1:16">
      <c r="A18" s="393"/>
      <c r="B18" s="686"/>
      <c r="C18" s="38"/>
      <c r="D18" s="263"/>
      <c r="E18" s="263"/>
      <c r="F18" s="263"/>
      <c r="G18" s="263"/>
      <c r="H18" s="263"/>
      <c r="I18" s="263"/>
      <c r="J18" s="263" t="s">
        <v>56</v>
      </c>
      <c r="K18" s="263"/>
      <c r="L18" s="263"/>
      <c r="M18" s="409"/>
      <c r="N18" s="402"/>
      <c r="P18" s="452"/>
    </row>
    <row r="19" spans="1:16">
      <c r="A19" s="390" t="s">
        <v>292</v>
      </c>
      <c r="B19" s="686"/>
      <c r="C19" s="38"/>
      <c r="D19" s="263"/>
      <c r="E19" s="263"/>
      <c r="F19" s="263"/>
      <c r="G19" s="263"/>
      <c r="H19" s="263"/>
      <c r="I19" s="263"/>
      <c r="J19" s="263"/>
      <c r="K19" s="263"/>
      <c r="L19" s="263"/>
      <c r="M19" s="409"/>
      <c r="N19" s="402"/>
      <c r="P19" s="452"/>
    </row>
    <row r="20" spans="1:16">
      <c r="A20" s="391" t="s">
        <v>293</v>
      </c>
      <c r="B20" s="686">
        <v>43.341999999999999</v>
      </c>
      <c r="C20" s="38">
        <v>0</v>
      </c>
      <c r="D20" s="263">
        <v>0</v>
      </c>
      <c r="E20" s="263">
        <v>0</v>
      </c>
      <c r="F20" s="263">
        <v>0</v>
      </c>
      <c r="G20" s="263">
        <v>0</v>
      </c>
      <c r="H20" s="263">
        <v>0</v>
      </c>
      <c r="I20" s="263">
        <v>0</v>
      </c>
      <c r="J20" s="263">
        <v>0</v>
      </c>
      <c r="K20" s="263">
        <v>0</v>
      </c>
      <c r="L20" s="263">
        <v>0</v>
      </c>
      <c r="M20" s="409">
        <v>0</v>
      </c>
      <c r="N20" s="402">
        <f>SUM(B20:M20)</f>
        <v>43.341999999999999</v>
      </c>
      <c r="P20" s="452"/>
    </row>
    <row r="21" spans="1:16">
      <c r="A21" s="391" t="s">
        <v>294</v>
      </c>
      <c r="B21" s="686">
        <v>19.079000000000001</v>
      </c>
      <c r="C21" s="38">
        <v>0</v>
      </c>
      <c r="D21" s="263">
        <v>0</v>
      </c>
      <c r="E21" s="263">
        <v>0</v>
      </c>
      <c r="F21" s="263">
        <v>0</v>
      </c>
      <c r="G21" s="263">
        <v>0</v>
      </c>
      <c r="H21" s="263">
        <v>0</v>
      </c>
      <c r="I21" s="263">
        <v>0</v>
      </c>
      <c r="J21" s="263">
        <v>0</v>
      </c>
      <c r="K21" s="263">
        <v>0</v>
      </c>
      <c r="L21" s="263">
        <v>0</v>
      </c>
      <c r="M21" s="409">
        <v>0</v>
      </c>
      <c r="N21" s="402">
        <f t="shared" ref="N21:N22" si="2">SUM(B21:M21)</f>
        <v>19.079000000000001</v>
      </c>
      <c r="P21" s="452"/>
    </row>
    <row r="22" spans="1:16">
      <c r="A22" s="391" t="s">
        <v>295</v>
      </c>
      <c r="B22" s="686">
        <v>2.4089999999999998</v>
      </c>
      <c r="C22" s="38">
        <v>0</v>
      </c>
      <c r="D22" s="263">
        <v>0</v>
      </c>
      <c r="E22" s="263">
        <v>0</v>
      </c>
      <c r="F22" s="263">
        <v>0</v>
      </c>
      <c r="G22" s="263">
        <v>0</v>
      </c>
      <c r="H22" s="263">
        <v>0</v>
      </c>
      <c r="I22" s="263">
        <v>0</v>
      </c>
      <c r="J22" s="263">
        <v>0</v>
      </c>
      <c r="K22" s="263">
        <v>0</v>
      </c>
      <c r="L22" s="263">
        <v>0</v>
      </c>
      <c r="M22" s="409">
        <v>0</v>
      </c>
      <c r="N22" s="402">
        <f t="shared" si="2"/>
        <v>2.4089999999999998</v>
      </c>
      <c r="P22" s="452"/>
    </row>
    <row r="23" spans="1:16">
      <c r="A23" s="394" t="s">
        <v>296</v>
      </c>
      <c r="B23" s="686">
        <v>8.3109999999999999</v>
      </c>
      <c r="C23" s="38">
        <v>0</v>
      </c>
      <c r="D23" s="263">
        <v>0</v>
      </c>
      <c r="E23" s="263">
        <v>0</v>
      </c>
      <c r="F23" s="263">
        <v>0</v>
      </c>
      <c r="G23" s="263">
        <v>0</v>
      </c>
      <c r="H23" s="263">
        <v>0</v>
      </c>
      <c r="I23" s="263">
        <v>0</v>
      </c>
      <c r="J23" s="263">
        <v>0</v>
      </c>
      <c r="K23" s="263">
        <v>0</v>
      </c>
      <c r="L23" s="263">
        <v>0</v>
      </c>
      <c r="M23" s="409">
        <v>0</v>
      </c>
      <c r="N23" s="402">
        <f>SUM(B23:M23)</f>
        <v>8.3109999999999999</v>
      </c>
      <c r="P23" s="452"/>
    </row>
    <row r="24" spans="1:16">
      <c r="A24" s="392" t="s">
        <v>279</v>
      </c>
      <c r="B24" s="687">
        <f>SUM(B20:B23)</f>
        <v>73.140999999999991</v>
      </c>
      <c r="C24" s="685">
        <f t="shared" ref="C24:M24" si="3">SUM(C20:C23)</f>
        <v>0</v>
      </c>
      <c r="D24" s="264">
        <f t="shared" si="3"/>
        <v>0</v>
      </c>
      <c r="E24" s="264">
        <f t="shared" si="3"/>
        <v>0</v>
      </c>
      <c r="F24" s="264">
        <f t="shared" si="3"/>
        <v>0</v>
      </c>
      <c r="G24" s="264">
        <f t="shared" si="3"/>
        <v>0</v>
      </c>
      <c r="H24" s="264">
        <f t="shared" si="3"/>
        <v>0</v>
      </c>
      <c r="I24" s="264">
        <f t="shared" si="3"/>
        <v>0</v>
      </c>
      <c r="J24" s="264">
        <f t="shared" si="3"/>
        <v>0</v>
      </c>
      <c r="K24" s="264">
        <f t="shared" si="3"/>
        <v>0</v>
      </c>
      <c r="L24" s="264">
        <f t="shared" si="3"/>
        <v>0</v>
      </c>
      <c r="M24" s="410">
        <f t="shared" si="3"/>
        <v>0</v>
      </c>
      <c r="N24" s="403">
        <f>SUM(B24:M24)</f>
        <v>73.140999999999991</v>
      </c>
      <c r="P24" s="452"/>
    </row>
    <row r="25" spans="1:16">
      <c r="A25" s="394"/>
      <c r="B25" s="686"/>
      <c r="C25" s="38"/>
      <c r="D25" s="263"/>
      <c r="E25" s="263"/>
      <c r="F25" s="263"/>
      <c r="G25" s="263"/>
      <c r="H25" s="263"/>
      <c r="I25" s="263"/>
      <c r="J25" s="263"/>
      <c r="K25" s="263"/>
      <c r="L25" s="263"/>
      <c r="M25" s="409"/>
      <c r="N25" s="402"/>
      <c r="P25" s="452"/>
    </row>
    <row r="26" spans="1:16">
      <c r="A26" s="390"/>
      <c r="B26" s="686" t="s">
        <v>56</v>
      </c>
      <c r="C26" s="38" t="s">
        <v>56</v>
      </c>
      <c r="D26" s="263" t="s">
        <v>56</v>
      </c>
      <c r="E26" s="263"/>
      <c r="F26" s="263" t="s">
        <v>56</v>
      </c>
      <c r="G26" s="270"/>
      <c r="H26" s="269" t="s">
        <v>56</v>
      </c>
      <c r="I26" s="269" t="s">
        <v>56</v>
      </c>
      <c r="J26" s="269" t="s">
        <v>56</v>
      </c>
      <c r="K26" s="269" t="s">
        <v>56</v>
      </c>
      <c r="L26" s="269" t="s">
        <v>56</v>
      </c>
      <c r="M26" s="411" t="s">
        <v>56</v>
      </c>
      <c r="N26" s="402" t="s">
        <v>56</v>
      </c>
      <c r="P26" s="452"/>
    </row>
    <row r="27" spans="1:16">
      <c r="A27" s="390" t="s">
        <v>280</v>
      </c>
      <c r="B27" s="686">
        <v>0</v>
      </c>
      <c r="C27" s="38">
        <v>0</v>
      </c>
      <c r="D27" s="263">
        <v>0</v>
      </c>
      <c r="E27" s="263">
        <v>0</v>
      </c>
      <c r="F27" s="263">
        <v>0</v>
      </c>
      <c r="G27" s="263">
        <v>0</v>
      </c>
      <c r="H27" s="269">
        <v>0</v>
      </c>
      <c r="I27" s="269">
        <v>0</v>
      </c>
      <c r="J27" s="269">
        <v>0</v>
      </c>
      <c r="K27" s="269">
        <v>0</v>
      </c>
      <c r="L27" s="269">
        <v>0</v>
      </c>
      <c r="M27" s="411">
        <v>0</v>
      </c>
      <c r="N27" s="402">
        <f>SUM(B27:M27)</f>
        <v>0</v>
      </c>
      <c r="P27" s="452"/>
    </row>
    <row r="28" spans="1:16">
      <c r="A28" s="395" t="s">
        <v>282</v>
      </c>
      <c r="B28" s="687">
        <f t="shared" ref="B28:H28" si="4">SUM(B27:B27)</f>
        <v>0</v>
      </c>
      <c r="C28" s="685">
        <f t="shared" si="4"/>
        <v>0</v>
      </c>
      <c r="D28" s="264">
        <f t="shared" si="4"/>
        <v>0</v>
      </c>
      <c r="E28" s="264">
        <f>SUM(E27:E27)</f>
        <v>0</v>
      </c>
      <c r="F28" s="264">
        <f t="shared" si="4"/>
        <v>0</v>
      </c>
      <c r="G28" s="264">
        <f t="shared" si="4"/>
        <v>0</v>
      </c>
      <c r="H28" s="264">
        <f t="shared" si="4"/>
        <v>0</v>
      </c>
      <c r="I28" s="264">
        <f>SUM(I27:I27)</f>
        <v>0</v>
      </c>
      <c r="J28" s="264">
        <f>SUM(J27:J27)</f>
        <v>0</v>
      </c>
      <c r="K28" s="264">
        <f>SUM(K27:K27)</f>
        <v>0</v>
      </c>
      <c r="L28" s="264">
        <f>SUM(L27:L27)</f>
        <v>0</v>
      </c>
      <c r="M28" s="410">
        <f>SUM(M27:M27)</f>
        <v>0</v>
      </c>
      <c r="N28" s="403">
        <f>SUM(B28:M28)</f>
        <v>0</v>
      </c>
      <c r="P28" s="452"/>
    </row>
    <row r="29" spans="1:16">
      <c r="A29" s="396"/>
      <c r="B29" s="686"/>
      <c r="C29" s="38"/>
      <c r="D29" s="263"/>
      <c r="E29" s="263"/>
      <c r="F29" s="263"/>
      <c r="G29" s="265"/>
      <c r="H29" s="263"/>
      <c r="I29" s="265"/>
      <c r="J29" s="263"/>
      <c r="K29" s="263"/>
      <c r="L29" s="265"/>
      <c r="M29" s="409"/>
      <c r="N29" s="402"/>
    </row>
    <row r="30" spans="1:16">
      <c r="A30" s="397"/>
      <c r="B30" s="686"/>
      <c r="C30" s="38"/>
      <c r="D30" s="263"/>
      <c r="E30" s="263"/>
      <c r="F30" s="263"/>
      <c r="G30" s="263"/>
      <c r="H30" s="263"/>
      <c r="I30" s="263"/>
      <c r="J30" s="263"/>
      <c r="K30" s="263"/>
      <c r="L30" s="263"/>
      <c r="M30" s="409"/>
      <c r="N30" s="402"/>
    </row>
    <row r="31" spans="1:16">
      <c r="A31" s="397" t="s">
        <v>261</v>
      </c>
      <c r="B31" s="686">
        <v>0</v>
      </c>
      <c r="C31" s="38">
        <v>0</v>
      </c>
      <c r="D31" s="263">
        <v>0</v>
      </c>
      <c r="E31" s="263">
        <v>0</v>
      </c>
      <c r="F31" s="263">
        <v>0</v>
      </c>
      <c r="G31" s="263">
        <v>0</v>
      </c>
      <c r="H31" s="269">
        <v>0</v>
      </c>
      <c r="I31" s="269">
        <v>0</v>
      </c>
      <c r="J31" s="269">
        <v>0</v>
      </c>
      <c r="K31" s="269">
        <v>0</v>
      </c>
      <c r="L31" s="269">
        <v>0</v>
      </c>
      <c r="M31" s="411">
        <v>0</v>
      </c>
      <c r="N31" s="402">
        <f>SUM(B31:M31)</f>
        <v>0</v>
      </c>
    </row>
    <row r="32" spans="1:16">
      <c r="A32" s="393"/>
      <c r="B32" s="686"/>
      <c r="C32" s="38"/>
      <c r="D32" s="263"/>
      <c r="E32" s="263"/>
      <c r="F32" s="263"/>
      <c r="G32" s="263"/>
      <c r="H32" s="269"/>
      <c r="I32" s="269"/>
      <c r="J32" s="269"/>
      <c r="K32" s="269"/>
      <c r="L32" s="269"/>
      <c r="M32" s="412"/>
      <c r="N32" s="402" t="s">
        <v>56</v>
      </c>
    </row>
    <row r="33" spans="1:19">
      <c r="A33" s="398" t="s">
        <v>267</v>
      </c>
      <c r="B33" s="687">
        <f t="shared" ref="B33:H33" si="5">SUM(B31:B32)</f>
        <v>0</v>
      </c>
      <c r="C33" s="685">
        <f t="shared" si="5"/>
        <v>0</v>
      </c>
      <c r="D33" s="264">
        <f t="shared" si="5"/>
        <v>0</v>
      </c>
      <c r="E33" s="264">
        <f t="shared" si="5"/>
        <v>0</v>
      </c>
      <c r="F33" s="264">
        <f t="shared" si="5"/>
        <v>0</v>
      </c>
      <c r="G33" s="264">
        <f t="shared" si="5"/>
        <v>0</v>
      </c>
      <c r="H33" s="264">
        <f t="shared" si="5"/>
        <v>0</v>
      </c>
      <c r="I33" s="264">
        <f>SUM(I30:I32)</f>
        <v>0</v>
      </c>
      <c r="J33" s="264">
        <f>SUM(J31:J32)</f>
        <v>0</v>
      </c>
      <c r="K33" s="264">
        <f>SUM(K31:K32)</f>
        <v>0</v>
      </c>
      <c r="L33" s="264">
        <f>SUM(L31:L32)</f>
        <v>0</v>
      </c>
      <c r="M33" s="410">
        <f>SUM(M31:M32)</f>
        <v>0</v>
      </c>
      <c r="N33" s="403">
        <f>SUM(B33:M33)</f>
        <v>0</v>
      </c>
      <c r="O33" s="34"/>
    </row>
    <row r="34" spans="1:19" ht="10.5" customHeight="1">
      <c r="A34" s="399"/>
      <c r="B34" s="688"/>
      <c r="C34" s="689"/>
      <c r="D34" s="265"/>
      <c r="E34" s="265"/>
      <c r="F34" s="265"/>
      <c r="G34" s="265"/>
      <c r="H34" s="265"/>
      <c r="I34" s="265"/>
      <c r="J34" s="265"/>
      <c r="K34" s="265"/>
      <c r="L34" s="265"/>
      <c r="M34" s="413"/>
      <c r="N34" s="404"/>
    </row>
    <row r="35" spans="1:19" ht="15" customHeight="1">
      <c r="A35" s="392" t="s">
        <v>283</v>
      </c>
      <c r="B35" s="690">
        <v>0</v>
      </c>
      <c r="C35" s="691">
        <v>0</v>
      </c>
      <c r="D35" s="266">
        <v>0</v>
      </c>
      <c r="E35" s="266">
        <v>0</v>
      </c>
      <c r="F35" s="266">
        <v>0</v>
      </c>
      <c r="G35" s="266">
        <v>0</v>
      </c>
      <c r="H35" s="266">
        <v>0</v>
      </c>
      <c r="I35" s="266">
        <v>0</v>
      </c>
      <c r="J35" s="264">
        <v>0</v>
      </c>
      <c r="K35" s="264">
        <v>0</v>
      </c>
      <c r="L35" s="266">
        <v>0</v>
      </c>
      <c r="M35" s="414">
        <v>0</v>
      </c>
      <c r="N35" s="405">
        <f>SUM(B35:M35)</f>
        <v>0</v>
      </c>
      <c r="O35" s="38"/>
      <c r="P35" s="38"/>
      <c r="Q35" s="38"/>
      <c r="R35" s="38"/>
      <c r="S35" s="45"/>
    </row>
    <row r="36" spans="1:19" ht="15" customHeight="1" thickBot="1">
      <c r="A36" s="400" t="s">
        <v>297</v>
      </c>
      <c r="B36" s="692">
        <f t="shared" ref="B36:L36" si="6">B17+B24+B28+B33+B35</f>
        <v>115.30799999999999</v>
      </c>
      <c r="C36" s="693">
        <f t="shared" si="6"/>
        <v>0</v>
      </c>
      <c r="D36" s="267">
        <f t="shared" si="6"/>
        <v>0</v>
      </c>
      <c r="E36" s="267">
        <f t="shared" si="6"/>
        <v>0</v>
      </c>
      <c r="F36" s="267">
        <f t="shared" si="6"/>
        <v>0</v>
      </c>
      <c r="G36" s="267">
        <f t="shared" si="6"/>
        <v>0</v>
      </c>
      <c r="H36" s="267">
        <f>H17+H24+H28+H33+H35</f>
        <v>0</v>
      </c>
      <c r="I36" s="267">
        <f t="shared" si="6"/>
        <v>0</v>
      </c>
      <c r="J36" s="267">
        <f t="shared" si="6"/>
        <v>0</v>
      </c>
      <c r="K36" s="267">
        <f t="shared" si="6"/>
        <v>0</v>
      </c>
      <c r="L36" s="267">
        <f t="shared" si="6"/>
        <v>0</v>
      </c>
      <c r="M36" s="415">
        <f>M17+M24+M28+M33+M35</f>
        <v>0</v>
      </c>
      <c r="N36" s="406">
        <f>SUM(B36:M36)</f>
        <v>115.30799999999999</v>
      </c>
      <c r="O36" s="38"/>
      <c r="P36" s="38"/>
      <c r="Q36" s="38"/>
      <c r="R36" s="38"/>
      <c r="S36" s="45"/>
    </row>
    <row r="37" spans="1:19" ht="26.25" customHeight="1" thickBot="1">
      <c r="A37" s="400" t="s">
        <v>298</v>
      </c>
      <c r="B37" s="692">
        <f>B36+0.082</f>
        <v>115.38999999999999</v>
      </c>
      <c r="C37" s="693">
        <v>0</v>
      </c>
      <c r="D37" s="267">
        <v>0</v>
      </c>
      <c r="E37" s="267">
        <v>0</v>
      </c>
      <c r="F37" s="267">
        <v>0</v>
      </c>
      <c r="G37" s="267">
        <v>0</v>
      </c>
      <c r="H37" s="267">
        <v>0</v>
      </c>
      <c r="I37" s="267">
        <v>0</v>
      </c>
      <c r="J37" s="267">
        <v>0</v>
      </c>
      <c r="K37" s="267">
        <v>0</v>
      </c>
      <c r="L37" s="267">
        <v>0</v>
      </c>
      <c r="M37" s="415">
        <v>0</v>
      </c>
      <c r="N37" s="406">
        <f>SUM(B37:M37)</f>
        <v>115.38999999999999</v>
      </c>
      <c r="O37" s="34"/>
    </row>
    <row r="38" spans="1:19">
      <c r="A38" s="47"/>
      <c r="B38" s="48"/>
      <c r="C38" s="48"/>
      <c r="D38" s="48"/>
      <c r="E38" s="48"/>
      <c r="F38" s="48"/>
      <c r="G38" s="48"/>
      <c r="H38" s="48"/>
      <c r="I38" s="48"/>
      <c r="J38" s="48"/>
      <c r="K38" s="48"/>
      <c r="L38" s="48"/>
      <c r="M38" s="48"/>
      <c r="N38" s="48"/>
    </row>
    <row r="39" spans="1:19" ht="15">
      <c r="A39" s="621" t="s">
        <v>68</v>
      </c>
      <c r="B39" s="619"/>
      <c r="C39" s="619"/>
      <c r="D39" s="619"/>
      <c r="E39" s="619"/>
      <c r="F39" s="619"/>
      <c r="G39" s="619"/>
      <c r="H39" s="619"/>
      <c r="I39" s="619"/>
      <c r="J39" s="619"/>
      <c r="K39" s="619"/>
      <c r="L39" s="619"/>
      <c r="M39" s="619"/>
      <c r="N39" s="619"/>
    </row>
    <row r="40" spans="1:19" ht="17.25">
      <c r="A40" s="566" t="s">
        <v>299</v>
      </c>
      <c r="B40" s="567"/>
      <c r="C40" s="567"/>
      <c r="D40" s="567"/>
      <c r="E40" s="567"/>
      <c r="F40" s="567"/>
      <c r="G40" s="567"/>
      <c r="H40" s="567"/>
      <c r="I40" s="567"/>
      <c r="J40" s="567"/>
      <c r="K40" s="567"/>
      <c r="L40" s="567"/>
      <c r="M40" s="567"/>
      <c r="N40" s="567"/>
    </row>
    <row r="41" spans="1:19" ht="14.45" customHeight="1">
      <c r="A41" s="728" t="s">
        <v>300</v>
      </c>
      <c r="B41" s="728"/>
      <c r="C41" s="728"/>
      <c r="D41" s="728"/>
      <c r="E41" s="728"/>
      <c r="F41" s="728"/>
      <c r="G41" s="728"/>
      <c r="H41" s="728"/>
      <c r="I41" s="728"/>
      <c r="J41" s="728"/>
      <c r="K41" s="728"/>
      <c r="L41" s="728"/>
      <c r="M41" s="728"/>
      <c r="N41" s="728"/>
    </row>
    <row r="42" spans="1:19" ht="14.45" customHeight="1">
      <c r="A42" s="568" t="s">
        <v>301</v>
      </c>
      <c r="B42" s="653"/>
      <c r="C42" s="653"/>
      <c r="D42" s="653"/>
      <c r="E42" s="653"/>
      <c r="F42" s="653"/>
      <c r="G42" s="653"/>
      <c r="H42" s="653"/>
      <c r="I42" s="653"/>
      <c r="J42" s="653"/>
      <c r="K42" s="653"/>
      <c r="L42" s="653"/>
      <c r="M42" s="653"/>
      <c r="N42" s="653"/>
    </row>
    <row r="43" spans="1:19" ht="14.45" customHeight="1">
      <c r="A43" s="568"/>
      <c r="B43" s="653"/>
      <c r="C43" s="653"/>
      <c r="D43" s="653"/>
      <c r="E43" s="653"/>
      <c r="F43" s="653"/>
      <c r="G43" s="653"/>
      <c r="H43" s="653"/>
      <c r="I43" s="653"/>
      <c r="J43" s="653"/>
      <c r="K43" s="653"/>
      <c r="L43" s="653"/>
      <c r="M43" s="653"/>
      <c r="N43" s="653"/>
    </row>
    <row r="44" spans="1:19" ht="15">
      <c r="A44" s="262" t="s">
        <v>72</v>
      </c>
      <c r="E44" s="135"/>
    </row>
    <row r="45" spans="1:19">
      <c r="H45" s="34"/>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8"/>
  <sheetViews>
    <sheetView showGridLines="0" tabSelected="1" showRuler="0" zoomScale="110" zoomScaleNormal="110" zoomScaleSheetLayoutView="80" workbookViewId="0">
      <selection activeCell="A15" sqref="A15"/>
    </sheetView>
  </sheetViews>
  <sheetFormatPr defaultColWidth="9.140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140625" style="10" customWidth="1"/>
    <col min="7" max="7" width="9.855468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140625" style="10" hidden="1" customWidth="1"/>
    <col min="21" max="21" width="9.7109375" style="10" customWidth="1"/>
    <col min="22" max="22" width="11.42578125" style="10" customWidth="1"/>
    <col min="23" max="23" width="11" style="10" customWidth="1"/>
    <col min="24" max="25" width="9.7109375" style="10" customWidth="1"/>
    <col min="26" max="26" width="12.85546875" style="10" customWidth="1"/>
    <col min="27" max="27" width="8.85546875" style="10" bestFit="1" customWidth="1"/>
    <col min="28" max="28" width="10.5703125" style="10" customWidth="1"/>
    <col min="29" max="29" width="9.85546875" style="10" bestFit="1" customWidth="1"/>
    <col min="30" max="30" width="11.140625" style="10" customWidth="1"/>
    <col min="31" max="31" width="9.85546875" style="10" bestFit="1" customWidth="1"/>
    <col min="32" max="32" width="10.85546875" style="10" customWidth="1"/>
    <col min="33" max="33" width="12.140625" style="10" bestFit="1" customWidth="1"/>
    <col min="34" max="34" width="12.140625" style="10" customWidth="1"/>
    <col min="35" max="35" width="9.5703125" style="10" bestFit="1" customWidth="1"/>
    <col min="36" max="36" width="11.140625" style="10" customWidth="1"/>
    <col min="37" max="37" width="11.7109375" style="10" bestFit="1" customWidth="1"/>
    <col min="38" max="38" width="11.7109375" style="10" customWidth="1"/>
    <col min="39" max="16384" width="9.140625" style="10"/>
  </cols>
  <sheetData>
    <row r="1" spans="1:31">
      <c r="H1" s="162" t="s">
        <v>39</v>
      </c>
    </row>
    <row r="2" spans="1:31" ht="14.25" customHeight="1">
      <c r="H2" s="162" t="s">
        <v>40</v>
      </c>
      <c r="Q2" s="12"/>
      <c r="R2" s="97"/>
    </row>
    <row r="3" spans="1:31" ht="14.25" customHeight="1">
      <c r="C3" s="166"/>
      <c r="E3" s="166"/>
      <c r="G3" s="166"/>
      <c r="H3" s="165" t="s">
        <v>41</v>
      </c>
      <c r="I3" s="166"/>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98"/>
    </row>
    <row r="6" spans="1:31">
      <c r="A6" s="99"/>
      <c r="B6" s="100"/>
      <c r="C6" s="101" t="s">
        <v>42</v>
      </c>
      <c r="D6" s="100"/>
      <c r="E6" s="100"/>
      <c r="F6" s="100" t="s">
        <v>43</v>
      </c>
      <c r="G6" s="100"/>
      <c r="H6" s="100"/>
      <c r="I6" s="100" t="s">
        <v>44</v>
      </c>
      <c r="J6" s="100"/>
      <c r="K6" s="100"/>
      <c r="L6" s="100" t="s">
        <v>45</v>
      </c>
      <c r="M6" s="100"/>
      <c r="N6" s="100"/>
      <c r="O6" s="100" t="s">
        <v>31</v>
      </c>
      <c r="P6" s="100"/>
      <c r="Q6" s="100"/>
      <c r="R6" s="100" t="s">
        <v>46</v>
      </c>
      <c r="S6" s="100"/>
      <c r="T6" s="190"/>
    </row>
    <row r="7" spans="1:31" ht="42">
      <c r="A7" s="191" t="s">
        <v>47</v>
      </c>
      <c r="B7" s="212" t="s">
        <v>48</v>
      </c>
      <c r="C7" s="193" t="s">
        <v>49</v>
      </c>
      <c r="D7" s="183" t="s">
        <v>50</v>
      </c>
      <c r="E7" s="192" t="s">
        <v>48</v>
      </c>
      <c r="F7" s="193" t="s">
        <v>51</v>
      </c>
      <c r="G7" s="183" t="s">
        <v>52</v>
      </c>
      <c r="H7" s="194" t="s">
        <v>48</v>
      </c>
      <c r="I7" s="193" t="s">
        <v>51</v>
      </c>
      <c r="J7" s="183" t="s">
        <v>53</v>
      </c>
      <c r="K7" s="195" t="s">
        <v>6</v>
      </c>
      <c r="L7" s="193" t="s">
        <v>51</v>
      </c>
      <c r="M7" s="183" t="s">
        <v>53</v>
      </c>
      <c r="N7" s="195" t="s">
        <v>48</v>
      </c>
      <c r="O7" s="193" t="s">
        <v>51</v>
      </c>
      <c r="P7" s="183" t="s">
        <v>53</v>
      </c>
      <c r="Q7" s="194" t="s">
        <v>6</v>
      </c>
      <c r="R7" s="193" t="s">
        <v>51</v>
      </c>
      <c r="S7" s="183" t="s">
        <v>53</v>
      </c>
      <c r="T7" s="183" t="s">
        <v>54</v>
      </c>
    </row>
    <row r="8" spans="1:31" ht="12.75" customHeight="1">
      <c r="A8" s="176" t="s">
        <v>55</v>
      </c>
      <c r="B8" s="196"/>
      <c r="C8" s="196"/>
      <c r="D8" s="197"/>
      <c r="E8" s="198"/>
      <c r="F8" s="196"/>
      <c r="G8" s="197"/>
      <c r="H8" s="198"/>
      <c r="I8" s="196"/>
      <c r="J8" s="196"/>
      <c r="K8" s="198"/>
      <c r="L8" s="196"/>
      <c r="M8" s="199"/>
      <c r="N8" s="198"/>
      <c r="O8" s="196"/>
      <c r="P8" s="199"/>
      <c r="Q8" s="198"/>
      <c r="R8" s="196"/>
      <c r="S8" s="199"/>
      <c r="T8" s="200"/>
    </row>
    <row r="9" spans="1:31">
      <c r="A9" s="96" t="s">
        <v>8</v>
      </c>
      <c r="B9" s="114">
        <v>4</v>
      </c>
      <c r="C9" s="423">
        <f>B9*(INDEX('Ex ante LI &amp; Eligibility Stats'!$A:$M,MATCH('Program MW '!$A9,'Ex ante LI &amp; Eligibility Stats'!$A:$A,0),MATCH('Program MW '!C$6,'Ex ante LI &amp; Eligibility Stats'!$A$8:$M$8,0))/1000)</f>
        <v>0.64924000000000004</v>
      </c>
      <c r="D9" s="419">
        <f>B9*(INDEX('Ex post LI &amp; Eligibility Stats'!$A:$N,MATCH($A9,'Ex post LI &amp; Eligibility Stats'!$A:$A,0),MATCH('Program MW '!C$6,'Ex post LI &amp; Eligibility Stats'!$A$8:$N$8,0))/1000)</f>
        <v>1.51572</v>
      </c>
      <c r="E9" s="14">
        <v>0</v>
      </c>
      <c r="F9" s="419">
        <f>E9*(INDEX('Ex ante LI &amp; Eligibility Stats'!$A:$M,MATCH('Program MW '!$A9,'Ex ante LI &amp; Eligibility Stats'!$A:$A,0),MATCH('Program MW '!F$6,'Ex ante LI &amp; Eligibility Stats'!$A$8:$M$8,0))/1000)</f>
        <v>0</v>
      </c>
      <c r="G9" s="419">
        <f>E9*(INDEX('Ex post LI &amp; Eligibility Stats'!$A:$N,MATCH($A9,'Ex post LI &amp; Eligibility Stats'!$A:$A,0),MATCH('Program MW '!F$6,'Ex post LI &amp; Eligibility Stats'!$A$8:$N$8,0))/1000)</f>
        <v>0</v>
      </c>
      <c r="H9" s="14">
        <v>0</v>
      </c>
      <c r="I9" s="424"/>
      <c r="J9" s="419"/>
      <c r="K9" s="14">
        <v>0</v>
      </c>
      <c r="L9" s="419"/>
      <c r="M9" s="419" t="s">
        <v>56</v>
      </c>
      <c r="N9" s="14">
        <v>0</v>
      </c>
      <c r="O9" s="419" t="s">
        <v>56</v>
      </c>
      <c r="P9" s="419" t="s">
        <v>56</v>
      </c>
      <c r="Q9" s="136">
        <v>0</v>
      </c>
      <c r="R9" s="419" t="s">
        <v>56</v>
      </c>
      <c r="S9" s="420" t="s">
        <v>56</v>
      </c>
      <c r="T9" s="4">
        <v>5276</v>
      </c>
    </row>
    <row r="10" spans="1:31" ht="16.5" customHeight="1" thickBot="1">
      <c r="A10" s="201" t="s">
        <v>57</v>
      </c>
      <c r="B10" s="168">
        <f t="shared" ref="B10:S10" si="0">SUM(B9:B9)</f>
        <v>4</v>
      </c>
      <c r="C10" s="185">
        <f t="shared" si="0"/>
        <v>0.64924000000000004</v>
      </c>
      <c r="D10" s="185">
        <f t="shared" si="0"/>
        <v>1.51572</v>
      </c>
      <c r="E10" s="1">
        <f t="shared" si="0"/>
        <v>0</v>
      </c>
      <c r="F10" s="252">
        <f t="shared" si="0"/>
        <v>0</v>
      </c>
      <c r="G10" s="252">
        <f t="shared" si="0"/>
        <v>0</v>
      </c>
      <c r="H10" s="1">
        <f t="shared" si="0"/>
        <v>0</v>
      </c>
      <c r="I10" s="252">
        <f t="shared" si="0"/>
        <v>0</v>
      </c>
      <c r="J10" s="252">
        <f t="shared" si="0"/>
        <v>0</v>
      </c>
      <c r="K10" s="1">
        <f>SUM(K9)</f>
        <v>0</v>
      </c>
      <c r="L10" s="254">
        <f t="shared" si="0"/>
        <v>0</v>
      </c>
      <c r="M10" s="254">
        <f t="shared" si="0"/>
        <v>0</v>
      </c>
      <c r="N10" s="1">
        <f t="shared" si="0"/>
        <v>0</v>
      </c>
      <c r="O10" s="252">
        <f t="shared" si="0"/>
        <v>0</v>
      </c>
      <c r="P10" s="252" t="s">
        <v>56</v>
      </c>
      <c r="Q10" s="137">
        <f t="shared" si="0"/>
        <v>0</v>
      </c>
      <c r="R10" s="275">
        <f t="shared" si="0"/>
        <v>0</v>
      </c>
      <c r="S10" s="274">
        <f t="shared" si="0"/>
        <v>0</v>
      </c>
      <c r="T10" s="5"/>
    </row>
    <row r="11" spans="1:31" ht="16.5" customHeight="1" thickTop="1">
      <c r="A11" s="176" t="s">
        <v>58</v>
      </c>
      <c r="B11" s="186"/>
      <c r="C11" s="184"/>
      <c r="D11" s="187"/>
      <c r="E11" s="202"/>
      <c r="F11" s="203"/>
      <c r="G11" s="204"/>
      <c r="H11" s="202"/>
      <c r="I11" s="205"/>
      <c r="J11" s="204"/>
      <c r="K11" s="202"/>
      <c r="L11" s="205"/>
      <c r="M11" s="204"/>
      <c r="N11" s="202"/>
      <c r="O11" s="427"/>
      <c r="P11" s="428"/>
      <c r="Q11" s="206"/>
      <c r="R11" s="205"/>
      <c r="S11" s="207"/>
      <c r="T11" s="200"/>
      <c r="Y11" s="6"/>
      <c r="Z11" s="6"/>
      <c r="AA11" s="6"/>
      <c r="AB11" s="6"/>
      <c r="AC11" s="6"/>
      <c r="AD11" s="6"/>
      <c r="AE11" s="6"/>
    </row>
    <row r="12" spans="1:31">
      <c r="A12" s="53" t="s">
        <v>11</v>
      </c>
      <c r="B12" s="172">
        <v>14325</v>
      </c>
      <c r="C12" s="419">
        <f>B12*(INDEX('Ex ante LI &amp; Eligibility Stats'!$A:$M,MATCH($A12,'Ex ante LI &amp; Eligibility Stats'!$A:$A,0),MATCH('Program MW '!C$6,'Ex ante LI &amp; Eligibility Stats'!$A$8:$M$8,0))/1000)</f>
        <v>0</v>
      </c>
      <c r="D12" s="418">
        <f>B12*(INDEX('Ex post LI &amp; Eligibility Stats'!$A:$N,MATCH($A12,'Ex post LI &amp; Eligibility Stats'!$A:$A,0),MATCH('Program MW '!C$6,'Ex post LI &amp; Eligibility Stats'!$A$8:$N$8,0))/1000)</f>
        <v>10.45725</v>
      </c>
      <c r="E12" s="172">
        <v>0</v>
      </c>
      <c r="F12" s="417">
        <f>E12*(INDEX('Ex ante LI &amp; Eligibility Stats'!$A:$M,MATCH($A12,'Ex ante LI &amp; Eligibility Stats'!$A:$A,0),MATCH('Program MW '!F$6,'Ex ante LI &amp; Eligibility Stats'!$A$8:$M$8,0))/1000)</f>
        <v>0</v>
      </c>
      <c r="G12" s="418">
        <f>E12*(INDEX('Ex post LI &amp; Eligibility Stats'!$A:$N,MATCH($A12,'Ex post LI &amp; Eligibility Stats'!$A:$A,0),MATCH('Program MW '!F$6,'Ex post LI &amp; Eligibility Stats'!$A$8:$N$8,0))/1000)</f>
        <v>0</v>
      </c>
      <c r="H12" s="172">
        <v>0</v>
      </c>
      <c r="I12" s="417"/>
      <c r="J12" s="418"/>
      <c r="K12" s="172">
        <v>0</v>
      </c>
      <c r="L12" s="417"/>
      <c r="M12" s="418"/>
      <c r="N12" s="172">
        <v>0</v>
      </c>
      <c r="O12" s="419"/>
      <c r="P12" s="419"/>
      <c r="Q12" s="172">
        <v>0</v>
      </c>
      <c r="R12" s="425"/>
      <c r="S12" s="420"/>
      <c r="T12" s="7">
        <v>138123</v>
      </c>
      <c r="U12" s="6"/>
      <c r="V12" s="6"/>
      <c r="W12" s="6"/>
      <c r="X12" s="6"/>
      <c r="Y12" s="6"/>
      <c r="Z12" s="6"/>
      <c r="AA12" s="6"/>
      <c r="AB12" s="6"/>
      <c r="AC12" s="6"/>
      <c r="AD12" s="6"/>
      <c r="AE12" s="6"/>
    </row>
    <row r="13" spans="1:31">
      <c r="A13" s="223" t="s">
        <v>12</v>
      </c>
      <c r="B13" s="224">
        <v>0</v>
      </c>
      <c r="C13" s="419">
        <v>0</v>
      </c>
      <c r="D13" s="420">
        <v>0</v>
      </c>
      <c r="E13" s="224">
        <v>0</v>
      </c>
      <c r="F13" s="419">
        <v>0</v>
      </c>
      <c r="G13" s="420">
        <v>0</v>
      </c>
      <c r="H13" s="224">
        <v>0</v>
      </c>
      <c r="I13" s="419"/>
      <c r="J13" s="420"/>
      <c r="K13" s="224">
        <v>0</v>
      </c>
      <c r="L13" s="419"/>
      <c r="M13" s="420"/>
      <c r="N13" s="224">
        <v>0</v>
      </c>
      <c r="O13" s="419"/>
      <c r="P13" s="420"/>
      <c r="Q13" s="224">
        <v>0</v>
      </c>
      <c r="R13" s="425"/>
      <c r="S13" s="420"/>
      <c r="T13" s="4"/>
      <c r="U13" s="6"/>
      <c r="V13" s="6"/>
      <c r="W13" s="6"/>
      <c r="X13" s="6"/>
      <c r="Y13" s="6"/>
      <c r="Z13" s="6"/>
      <c r="AA13" s="6"/>
      <c r="AB13" s="6"/>
      <c r="AC13" s="6"/>
      <c r="AD13" s="6"/>
      <c r="AE13" s="6"/>
    </row>
    <row r="14" spans="1:31">
      <c r="A14" s="177" t="s">
        <v>14</v>
      </c>
      <c r="B14" s="173">
        <v>1</v>
      </c>
      <c r="C14" s="419">
        <v>0</v>
      </c>
      <c r="D14" s="420">
        <v>0</v>
      </c>
      <c r="E14" s="173">
        <v>0</v>
      </c>
      <c r="F14" s="419">
        <v>0</v>
      </c>
      <c r="G14" s="420">
        <v>0</v>
      </c>
      <c r="H14" s="173">
        <v>0</v>
      </c>
      <c r="I14" s="419"/>
      <c r="J14" s="420"/>
      <c r="K14" s="173">
        <v>0</v>
      </c>
      <c r="L14" s="419"/>
      <c r="M14" s="420"/>
      <c r="N14" s="173">
        <v>0</v>
      </c>
      <c r="O14" s="419"/>
      <c r="P14" s="420"/>
      <c r="Q14" s="173">
        <v>0</v>
      </c>
      <c r="R14" s="425"/>
      <c r="S14" s="420"/>
      <c r="T14" s="4"/>
      <c r="U14" s="6"/>
      <c r="V14" s="6"/>
      <c r="W14" s="6"/>
      <c r="X14" s="6"/>
      <c r="Y14" s="6"/>
      <c r="Z14" s="6"/>
      <c r="AA14" s="6"/>
      <c r="AB14" s="6"/>
      <c r="AC14" s="6"/>
      <c r="AD14" s="6"/>
      <c r="AE14" s="6"/>
    </row>
    <row r="15" spans="1:31">
      <c r="A15" s="223" t="s">
        <v>15</v>
      </c>
      <c r="B15" s="173">
        <v>0</v>
      </c>
      <c r="C15" s="419">
        <v>0</v>
      </c>
      <c r="D15" s="420">
        <v>0</v>
      </c>
      <c r="E15" s="173">
        <v>0</v>
      </c>
      <c r="F15" s="419">
        <v>0</v>
      </c>
      <c r="G15" s="420">
        <v>0</v>
      </c>
      <c r="H15" s="173">
        <v>0</v>
      </c>
      <c r="I15" s="419"/>
      <c r="J15" s="420"/>
      <c r="K15" s="173">
        <v>0</v>
      </c>
      <c r="L15" s="419"/>
      <c r="M15" s="420"/>
      <c r="N15" s="173">
        <v>0</v>
      </c>
      <c r="O15" s="419"/>
      <c r="P15" s="419"/>
      <c r="Q15" s="173">
        <v>0</v>
      </c>
      <c r="R15" s="425"/>
      <c r="S15" s="420"/>
      <c r="T15" s="4"/>
      <c r="U15" s="6"/>
      <c r="V15" s="6"/>
      <c r="W15" s="6"/>
      <c r="X15" s="6"/>
      <c r="Y15" s="6"/>
      <c r="Z15" s="6"/>
      <c r="AA15" s="6"/>
      <c r="AB15" s="6"/>
      <c r="AC15" s="6"/>
      <c r="AD15" s="6"/>
      <c r="AE15" s="6"/>
    </row>
    <row r="16" spans="1:31">
      <c r="A16" s="316" t="s">
        <v>17</v>
      </c>
      <c r="B16" s="173">
        <v>19267</v>
      </c>
      <c r="C16" s="419">
        <f>B16*(INDEX('Ex ante LI &amp; Eligibility Stats'!$A:$M,MATCH($A16,'Ex ante LI &amp; Eligibility Stats'!$A:$A,0),MATCH('Program MW '!C$6,'Ex ante LI &amp; Eligibility Stats'!$A$8:$M$8,0))/1000)</f>
        <v>0</v>
      </c>
      <c r="D16" s="420">
        <f>B16*(INDEX('Ex post LI &amp; Eligibility Stats'!$A:$N,MATCH($A16,'Ex post LI &amp; Eligibility Stats'!$A:$A,0),MATCH('Program MW '!C$6,'Ex post LI &amp; Eligibility Stats'!$A$8:$N$8,0))/1000)</f>
        <v>3.0827200000000001</v>
      </c>
      <c r="E16" s="173">
        <v>0</v>
      </c>
      <c r="F16" s="419">
        <f>E16*(INDEX('Ex ante LI &amp; Eligibility Stats'!$A:$M,MATCH($A16,'Ex ante LI &amp; Eligibility Stats'!$A:$A,0),MATCH('Program MW '!F$6,'Ex ante LI &amp; Eligibility Stats'!$A$8:$M$8,0))/1000)</f>
        <v>0</v>
      </c>
      <c r="G16" s="420">
        <f>E16*(INDEX('Ex post LI &amp; Eligibility Stats'!$A:$N,MATCH($A16,'Ex post LI &amp; Eligibility Stats'!$A:$A,0),MATCH('Program MW '!F$6,'Ex post LI &amp; Eligibility Stats'!$A$8:$N$8,0))/1000)</f>
        <v>0</v>
      </c>
      <c r="H16" s="173">
        <v>0</v>
      </c>
      <c r="I16" s="419"/>
      <c r="J16" s="420"/>
      <c r="K16" s="173">
        <v>0</v>
      </c>
      <c r="L16" s="419"/>
      <c r="M16" s="420"/>
      <c r="N16" s="173">
        <v>0</v>
      </c>
      <c r="O16" s="419"/>
      <c r="P16" s="419"/>
      <c r="Q16" s="173">
        <v>0</v>
      </c>
      <c r="R16" s="425"/>
      <c r="S16" s="420"/>
      <c r="T16" s="4">
        <v>663393.5</v>
      </c>
      <c r="U16" s="6"/>
      <c r="V16" s="6"/>
      <c r="W16" s="6"/>
      <c r="X16" s="6"/>
      <c r="Y16" s="6"/>
      <c r="Z16" s="6"/>
      <c r="AA16" s="6"/>
      <c r="AB16" s="6"/>
      <c r="AC16" s="6"/>
      <c r="AD16" s="6"/>
      <c r="AE16" s="6"/>
    </row>
    <row r="17" spans="1:31">
      <c r="A17" s="170" t="s">
        <v>20</v>
      </c>
      <c r="B17" s="173">
        <v>1621</v>
      </c>
      <c r="C17" s="419">
        <f>B17*(INDEX('Ex ante LI &amp; Eligibility Stats'!$A:$M,MATCH($A17,'Ex ante LI &amp; Eligibility Stats'!$A:$A,0),MATCH('Program MW '!C$6,'Ex ante LI &amp; Eligibility Stats'!$A$8:$M$8,0))/1000)</f>
        <v>0</v>
      </c>
      <c r="D17" s="420">
        <f>B17*(INDEX('Ex post LI &amp; Eligibility Stats'!$A:$N,MATCH($A17,'Ex post LI &amp; Eligibility Stats'!$A:$A,0),MATCH('Program MW '!C$6,'Ex post LI &amp; Eligibility Stats'!$A$8:$N$8,0))/1000)</f>
        <v>0.76186999999999994</v>
      </c>
      <c r="E17" s="173">
        <v>0</v>
      </c>
      <c r="F17" s="419">
        <f>E17*(INDEX('Ex ante LI &amp; Eligibility Stats'!$A:$M,MATCH($A17,'Ex ante LI &amp; Eligibility Stats'!$A:$A,0),MATCH('Program MW '!F$6,'Ex ante LI &amp; Eligibility Stats'!$A$8:$M$8,0))/1000)</f>
        <v>0</v>
      </c>
      <c r="G17" s="420">
        <f>E17*(INDEX('Ex post LI &amp; Eligibility Stats'!$A:$N,MATCH($A17,'Ex post LI &amp; Eligibility Stats'!$A:$A,0),MATCH('Program MW '!F$6,'Ex post LI &amp; Eligibility Stats'!$A$8:$N$8,0))/1000)</f>
        <v>0</v>
      </c>
      <c r="H17" s="173">
        <v>0</v>
      </c>
      <c r="I17" s="419"/>
      <c r="J17" s="420"/>
      <c r="K17" s="173">
        <v>0</v>
      </c>
      <c r="L17" s="419"/>
      <c r="M17" s="420"/>
      <c r="N17" s="173">
        <v>0</v>
      </c>
      <c r="O17" s="419"/>
      <c r="P17" s="419"/>
      <c r="Q17" s="173">
        <v>0</v>
      </c>
      <c r="R17" s="425"/>
      <c r="S17" s="420"/>
      <c r="T17" s="4"/>
      <c r="U17" s="6"/>
      <c r="V17" s="6"/>
      <c r="W17" s="6"/>
      <c r="X17" s="6"/>
      <c r="Y17" s="6"/>
      <c r="Z17" s="6"/>
      <c r="AA17" s="6"/>
      <c r="AB17" s="6"/>
      <c r="AC17" s="6"/>
      <c r="AD17" s="6"/>
      <c r="AE17" s="6"/>
    </row>
    <row r="18" spans="1:31">
      <c r="A18" s="316" t="s">
        <v>21</v>
      </c>
      <c r="B18" s="515">
        <v>8709</v>
      </c>
      <c r="C18" s="419">
        <f>B18*(INDEX('Ex ante LI &amp; Eligibility Stats'!$A:$M,MATCH($A18,'Ex ante LI &amp; Eligibility Stats'!$A:$A,0),MATCH('Program MW '!C$6,'Ex ante LI &amp; Eligibility Stats'!$A$8:$M$8,0))/1000)</f>
        <v>0</v>
      </c>
      <c r="D18" s="420">
        <f>B18*(INDEX('Ex post LI &amp; Eligibility Stats'!$A:$N,MATCH($A18,'Ex post LI &amp; Eligibility Stats'!$A:$A,0),MATCH('Program MW '!C$6,'Ex post LI &amp; Eligibility Stats'!$A$8:$N$8,0))/1000)</f>
        <v>2.1772499999999999</v>
      </c>
      <c r="E18" s="515">
        <v>0</v>
      </c>
      <c r="F18" s="419">
        <f>E18*(INDEX('Ex ante LI &amp; Eligibility Stats'!$A:$M,MATCH($A18,'Ex ante LI &amp; Eligibility Stats'!$A:$A,0),MATCH('Program MW '!F$6,'Ex ante LI &amp; Eligibility Stats'!$A$8:$M$8,0))/1000)</f>
        <v>0</v>
      </c>
      <c r="G18" s="420">
        <f>E18*(INDEX('Ex post LI &amp; Eligibility Stats'!$A:$N,MATCH($A18,'Ex post LI &amp; Eligibility Stats'!$A:$A,0),MATCH('Program MW '!F$6,'Ex post LI &amp; Eligibility Stats'!$A$8:$N$8,0))/1000)</f>
        <v>0</v>
      </c>
      <c r="H18" s="515">
        <v>0</v>
      </c>
      <c r="I18" s="419"/>
      <c r="J18" s="420"/>
      <c r="K18" s="515">
        <v>0</v>
      </c>
      <c r="L18" s="419"/>
      <c r="M18" s="420"/>
      <c r="N18" s="515">
        <v>0</v>
      </c>
      <c r="O18" s="419"/>
      <c r="P18" s="419"/>
      <c r="Q18" s="515">
        <v>0</v>
      </c>
      <c r="R18" s="425"/>
      <c r="S18" s="420"/>
      <c r="T18" s="4">
        <v>157189</v>
      </c>
      <c r="U18" s="6"/>
      <c r="V18" s="6"/>
      <c r="W18" s="6"/>
      <c r="X18" s="6"/>
      <c r="Y18" s="6"/>
      <c r="Z18" s="6"/>
      <c r="AA18" s="6"/>
      <c r="AB18" s="6"/>
      <c r="AC18" s="6"/>
      <c r="AD18" s="6"/>
      <c r="AE18" s="6"/>
    </row>
    <row r="19" spans="1:31">
      <c r="A19" s="316" t="s">
        <v>23</v>
      </c>
      <c r="B19" s="515">
        <v>3148</v>
      </c>
      <c r="C19" s="419">
        <f>B19*(INDEX('Ex ante LI &amp; Eligibility Stats'!$A:$M,MATCH($A19,'Ex ante LI &amp; Eligibility Stats'!$A:$A,0),MATCH('Program MW '!C$6,'Ex ante LI &amp; Eligibility Stats'!$A$8:$M$8,0))/1000)</f>
        <v>0</v>
      </c>
      <c r="D19" s="420">
        <f>B19*(INDEX('Ex post LI &amp; Eligibility Stats'!$A:$N,MATCH($A19,'Ex post LI &amp; Eligibility Stats'!$A:$A,0),MATCH('Program MW '!C$6,'Ex post LI &amp; Eligibility Stats'!$A$8:$N$8,0))/1000)</f>
        <v>0.37775999999999998</v>
      </c>
      <c r="E19" s="515">
        <v>0</v>
      </c>
      <c r="F19" s="419">
        <f>E19*(INDEX('Ex ante LI &amp; Eligibility Stats'!$A:$M,MATCH($A19,'Ex ante LI &amp; Eligibility Stats'!$A:$A,0),MATCH('Program MW '!F$6,'Ex ante LI &amp; Eligibility Stats'!$A$8:$M$8,0))/1000)</f>
        <v>0</v>
      </c>
      <c r="G19" s="420">
        <f>E19*(INDEX('Ex post LI &amp; Eligibility Stats'!$A:$N,MATCH($A19,'Ex post LI &amp; Eligibility Stats'!$A:$A,0),MATCH('Program MW '!F$6,'Ex post LI &amp; Eligibility Stats'!$A$8:$N$8,0))/1000)</f>
        <v>0</v>
      </c>
      <c r="H19" s="515">
        <v>0</v>
      </c>
      <c r="I19" s="419"/>
      <c r="J19" s="420"/>
      <c r="K19" s="515">
        <v>0</v>
      </c>
      <c r="L19" s="419"/>
      <c r="M19" s="420"/>
      <c r="N19" s="515">
        <v>0</v>
      </c>
      <c r="O19" s="419"/>
      <c r="P19" s="419"/>
      <c r="Q19" s="515">
        <v>0</v>
      </c>
      <c r="R19" s="425"/>
      <c r="S19" s="420"/>
      <c r="T19" s="4">
        <v>157189</v>
      </c>
      <c r="U19" s="6"/>
      <c r="V19" s="6"/>
      <c r="W19" s="6"/>
      <c r="X19" s="6"/>
      <c r="Y19" s="6"/>
      <c r="Z19" s="6"/>
      <c r="AA19" s="6"/>
      <c r="AB19" s="6"/>
      <c r="AC19" s="6"/>
      <c r="AD19" s="6"/>
      <c r="AE19" s="6"/>
    </row>
    <row r="20" spans="1:31">
      <c r="A20" s="170" t="s">
        <v>24</v>
      </c>
      <c r="B20" s="173">
        <v>0</v>
      </c>
      <c r="C20" s="419">
        <f>B20*(INDEX('Ex ante LI &amp; Eligibility Stats'!$A:$M,MATCH($A20,'Ex ante LI &amp; Eligibility Stats'!$A:$A,0),MATCH('Program MW '!C$6,'Ex ante LI &amp; Eligibility Stats'!$A$8:$M$8,0))/1000)</f>
        <v>0</v>
      </c>
      <c r="D20" s="420">
        <f>B20*(INDEX('Ex post LI &amp; Eligibility Stats'!$A:$N,MATCH($A20,'Ex post LI &amp; Eligibility Stats'!$A:$A,0),MATCH('Program MW '!C$6,'Ex post LI &amp; Eligibility Stats'!$A$8:$N$8,0))/1000)</f>
        <v>0</v>
      </c>
      <c r="E20" s="173">
        <v>0</v>
      </c>
      <c r="F20" s="419">
        <f>E20*(INDEX('Ex ante LI &amp; Eligibility Stats'!$A:$M,MATCH($A20,'Ex ante LI &amp; Eligibility Stats'!$A:$A,0),MATCH('Program MW '!F$6,'Ex ante LI &amp; Eligibility Stats'!$A$8:$M$8,0))/1000)</f>
        <v>0</v>
      </c>
      <c r="G20" s="420">
        <f>E20*(INDEX('Ex post LI &amp; Eligibility Stats'!$A:$N,MATCH($A20,'Ex post LI &amp; Eligibility Stats'!$A:$A,0),MATCH('Program MW '!F$6,'Ex post LI &amp; Eligibility Stats'!$A$8:$N$8,0))/1000)</f>
        <v>0</v>
      </c>
      <c r="H20" s="173">
        <v>0</v>
      </c>
      <c r="I20" s="419"/>
      <c r="J20" s="420"/>
      <c r="K20" s="173">
        <v>0</v>
      </c>
      <c r="L20" s="419"/>
      <c r="M20" s="420"/>
      <c r="N20" s="173">
        <v>0</v>
      </c>
      <c r="O20" s="419"/>
      <c r="P20" s="419"/>
      <c r="Q20" s="173">
        <v>0</v>
      </c>
      <c r="R20" s="425"/>
      <c r="S20" s="420"/>
      <c r="T20" s="4">
        <v>18875</v>
      </c>
      <c r="U20" s="6"/>
      <c r="V20" s="6"/>
      <c r="W20" s="6"/>
      <c r="X20" s="6"/>
      <c r="Y20" s="6"/>
      <c r="Z20" s="6"/>
      <c r="AA20" s="6"/>
      <c r="AB20" s="6"/>
      <c r="AC20" s="6"/>
      <c r="AD20" s="6"/>
      <c r="AE20" s="6"/>
    </row>
    <row r="21" spans="1:31">
      <c r="A21" s="170" t="s">
        <v>25</v>
      </c>
      <c r="B21" s="173">
        <v>0</v>
      </c>
      <c r="C21" s="419">
        <f>B21*(INDEX('Ex ante LI &amp; Eligibility Stats'!$A:$M,MATCH($A21,'Ex ante LI &amp; Eligibility Stats'!$A:$A,0),MATCH('Program MW '!C$6,'Ex ante LI &amp; Eligibility Stats'!$A$8:$M$8,0))/1000)</f>
        <v>0</v>
      </c>
      <c r="D21" s="420">
        <f>B21*(INDEX('Ex post LI &amp; Eligibility Stats'!$A:$N,MATCH($A21,'Ex post LI &amp; Eligibility Stats'!$A:$A,0),MATCH('Program MW '!C$6,'Ex post LI &amp; Eligibility Stats'!$A$8:$N$8,0))/1000)</f>
        <v>0</v>
      </c>
      <c r="E21" s="173">
        <v>0</v>
      </c>
      <c r="F21" s="419">
        <f>E21*(INDEX('Ex ante LI &amp; Eligibility Stats'!$A:$M,MATCH($A21,'Ex ante LI &amp; Eligibility Stats'!$A:$A,0),MATCH('Program MW '!F$6,'Ex ante LI &amp; Eligibility Stats'!$A$8:$M$8,0))/1000)</f>
        <v>0</v>
      </c>
      <c r="G21" s="420">
        <f>E21*(INDEX('Ex post LI &amp; Eligibility Stats'!$A:$N,MATCH($A21,'Ex post LI &amp; Eligibility Stats'!$A:$A,0),MATCH('Program MW '!F$6,'Ex post LI &amp; Eligibility Stats'!$A$8:$N$8,0))/1000)</f>
        <v>0</v>
      </c>
      <c r="H21" s="173">
        <v>0</v>
      </c>
      <c r="I21" s="419"/>
      <c r="J21" s="420"/>
      <c r="K21" s="173">
        <v>0</v>
      </c>
      <c r="L21" s="419"/>
      <c r="M21" s="420"/>
      <c r="N21" s="173">
        <v>0</v>
      </c>
      <c r="O21" s="419"/>
      <c r="P21" s="419"/>
      <c r="Q21" s="173">
        <v>0</v>
      </c>
      <c r="R21" s="425"/>
      <c r="S21" s="420"/>
      <c r="T21" s="4">
        <v>18875</v>
      </c>
      <c r="U21" s="6"/>
      <c r="V21" s="6"/>
      <c r="W21" s="6"/>
      <c r="X21" s="6"/>
      <c r="Y21" s="6"/>
      <c r="Z21" s="6"/>
      <c r="AA21" s="6"/>
      <c r="AB21" s="6"/>
      <c r="AC21" s="6"/>
      <c r="AD21" s="6"/>
      <c r="AE21" s="6"/>
    </row>
    <row r="22" spans="1:31" s="166" customFormat="1">
      <c r="A22" s="316" t="s">
        <v>59</v>
      </c>
      <c r="B22" s="224">
        <v>90</v>
      </c>
      <c r="C22" s="419">
        <v>0</v>
      </c>
      <c r="D22" s="420">
        <v>0</v>
      </c>
      <c r="E22" s="224">
        <v>0</v>
      </c>
      <c r="F22" s="419" t="s">
        <v>56</v>
      </c>
      <c r="G22" s="420" t="s">
        <v>56</v>
      </c>
      <c r="H22" s="224">
        <v>0</v>
      </c>
      <c r="I22" s="419"/>
      <c r="J22" s="420"/>
      <c r="K22" s="224">
        <v>0</v>
      </c>
      <c r="L22" s="419"/>
      <c r="M22" s="420"/>
      <c r="N22" s="224">
        <v>0</v>
      </c>
      <c r="O22" s="419"/>
      <c r="P22" s="419"/>
      <c r="Q22" s="224">
        <v>0</v>
      </c>
      <c r="R22" s="425"/>
      <c r="S22" s="420"/>
      <c r="T22" s="610"/>
      <c r="U22" s="611"/>
      <c r="V22" s="611"/>
      <c r="W22" s="611"/>
      <c r="X22" s="611"/>
      <c r="Y22" s="611"/>
      <c r="Z22" s="611"/>
      <c r="AA22" s="611"/>
      <c r="AB22" s="611"/>
      <c r="AC22" s="611"/>
      <c r="AD22" s="611"/>
      <c r="AE22" s="611"/>
    </row>
    <row r="23" spans="1:31">
      <c r="A23" s="170" t="s">
        <v>26</v>
      </c>
      <c r="B23" s="173">
        <v>113358</v>
      </c>
      <c r="C23" s="419">
        <f>B23*(INDEX('Ex ante LI &amp; Eligibility Stats'!$A:$M,MATCH($A23,'Ex ante LI &amp; Eligibility Stats'!$A:$A,0),MATCH('Program MW '!C$6,'Ex ante LI &amp; Eligibility Stats'!$A$8:$M$8,0))/1000)</f>
        <v>1.13358</v>
      </c>
      <c r="D23" s="420">
        <f>B23*(INDEX('Ex post LI &amp; Eligibility Stats'!$A:$N,MATCH($A23,'Ex post LI &amp; Eligibility Stats'!$A:$A,0),MATCH('Program MW '!C$6,'Ex post LI &amp; Eligibility Stats'!$A$8:$N$8,0))/1000)</f>
        <v>3.4007399999999999</v>
      </c>
      <c r="E23" s="173">
        <v>0</v>
      </c>
      <c r="F23" s="419">
        <f>E23*(INDEX('Ex ante LI &amp; Eligibility Stats'!$A:$M,MATCH($A23,'Ex ante LI &amp; Eligibility Stats'!$A:$A,0),MATCH('Program MW '!F$6,'Ex ante LI &amp; Eligibility Stats'!$A$8:$M$8,0))/1000)</f>
        <v>0</v>
      </c>
      <c r="G23" s="420">
        <f>E23*(INDEX('Ex post LI &amp; Eligibility Stats'!$A:$N,MATCH($A23,'Ex post LI &amp; Eligibility Stats'!$A:$A,0),MATCH('Program MW '!F$6,'Ex post LI &amp; Eligibility Stats'!$A$8:$N$8,0))/1000)</f>
        <v>0</v>
      </c>
      <c r="H23" s="173">
        <v>0</v>
      </c>
      <c r="I23" s="419"/>
      <c r="J23" s="420"/>
      <c r="K23" s="173">
        <v>0</v>
      </c>
      <c r="L23" s="419"/>
      <c r="M23" s="420"/>
      <c r="N23" s="173">
        <v>0</v>
      </c>
      <c r="O23" s="419"/>
      <c r="P23" s="420"/>
      <c r="Q23" s="173">
        <v>0</v>
      </c>
      <c r="R23" s="425"/>
      <c r="S23" s="420"/>
      <c r="T23" s="4"/>
      <c r="U23" s="6"/>
      <c r="V23" s="6"/>
      <c r="W23" s="6"/>
      <c r="X23" s="6"/>
      <c r="Y23" s="6"/>
      <c r="Z23" s="6"/>
      <c r="AA23" s="6"/>
      <c r="AB23" s="6"/>
      <c r="AC23" s="6"/>
      <c r="AD23" s="6"/>
      <c r="AE23" s="6"/>
    </row>
    <row r="24" spans="1:31">
      <c r="A24" s="253" t="s">
        <v>27</v>
      </c>
      <c r="B24" s="315">
        <v>14845</v>
      </c>
      <c r="C24" s="421">
        <f>B24*(INDEX('Ex ante LI &amp; Eligibility Stats'!$A:$M,MATCH($A24,'Ex ante LI &amp; Eligibility Stats'!$A:$A,0),MATCH('Program MW '!C$6,'Ex ante LI &amp; Eligibility Stats'!$A$8:$M$8,0))/1000)</f>
        <v>0.59379999999999999</v>
      </c>
      <c r="D24" s="422">
        <f>B24*(INDEX('Ex post LI &amp; Eligibility Stats'!$A:$N,MATCH($A24,'Ex post LI &amp; Eligibility Stats'!$A:$A,0),MATCH('Program MW '!C$6,'Ex post LI &amp; Eligibility Stats'!$A$8:$N$8,0))/1000)</f>
        <v>3.2659000000000002</v>
      </c>
      <c r="E24" s="315">
        <v>0</v>
      </c>
      <c r="F24" s="419">
        <f>E24*(INDEX('Ex ante LI &amp; Eligibility Stats'!$A:$M,MATCH($A24,'Ex ante LI &amp; Eligibility Stats'!$A:$A,0),MATCH('Program MW '!F$6,'Ex ante LI &amp; Eligibility Stats'!$A$8:$M$8,0))/1000)</f>
        <v>0</v>
      </c>
      <c r="G24" s="420">
        <f>E24*(INDEX('Ex post LI &amp; Eligibility Stats'!$A:$N,MATCH($A24,'Ex post LI &amp; Eligibility Stats'!$A:$A,0),MATCH('Program MW '!F$6,'Ex post LI &amp; Eligibility Stats'!$A$8:$N$8,0))/1000)</f>
        <v>0</v>
      </c>
      <c r="H24" s="315">
        <v>0</v>
      </c>
      <c r="I24" s="419"/>
      <c r="J24" s="420"/>
      <c r="K24" s="315">
        <v>0</v>
      </c>
      <c r="L24" s="419"/>
      <c r="M24" s="420"/>
      <c r="N24" s="315">
        <v>0</v>
      </c>
      <c r="O24" s="419"/>
      <c r="P24" s="420"/>
      <c r="Q24" s="315">
        <v>0</v>
      </c>
      <c r="R24" s="425"/>
      <c r="S24" s="420"/>
      <c r="T24" s="4"/>
      <c r="U24" s="6"/>
      <c r="V24" s="6"/>
      <c r="W24" s="6"/>
      <c r="X24" s="6"/>
      <c r="Y24" s="6"/>
      <c r="Z24" s="6"/>
      <c r="AA24" s="6"/>
      <c r="AB24" s="6"/>
      <c r="AC24" s="6"/>
      <c r="AD24" s="6"/>
      <c r="AE24" s="6"/>
    </row>
    <row r="25" spans="1:31" ht="21.75" customHeight="1" thickBot="1">
      <c r="A25" s="201" t="s">
        <v>60</v>
      </c>
      <c r="B25" s="171">
        <f t="shared" ref="B25:S25" si="1">SUM(B12:B24)</f>
        <v>175364</v>
      </c>
      <c r="C25" s="189">
        <f t="shared" si="1"/>
        <v>1.7273800000000001</v>
      </c>
      <c r="D25" s="188">
        <f t="shared" si="1"/>
        <v>23.523489999999995</v>
      </c>
      <c r="E25" s="1">
        <f t="shared" si="1"/>
        <v>0</v>
      </c>
      <c r="F25" s="256">
        <f t="shared" si="1"/>
        <v>0</v>
      </c>
      <c r="G25" s="257">
        <f t="shared" si="1"/>
        <v>0</v>
      </c>
      <c r="H25" s="1">
        <f t="shared" si="1"/>
        <v>0</v>
      </c>
      <c r="I25" s="256">
        <f t="shared" si="1"/>
        <v>0</v>
      </c>
      <c r="J25" s="257">
        <f t="shared" si="1"/>
        <v>0</v>
      </c>
      <c r="K25" s="1">
        <f t="shared" si="1"/>
        <v>0</v>
      </c>
      <c r="L25" s="256">
        <f t="shared" si="1"/>
        <v>0</v>
      </c>
      <c r="M25" s="257">
        <f t="shared" si="1"/>
        <v>0</v>
      </c>
      <c r="N25" s="1">
        <f t="shared" si="1"/>
        <v>0</v>
      </c>
      <c r="O25" s="258">
        <f t="shared" si="1"/>
        <v>0</v>
      </c>
      <c r="P25" s="261">
        <f t="shared" si="1"/>
        <v>0</v>
      </c>
      <c r="Q25" s="1">
        <f t="shared" si="1"/>
        <v>0</v>
      </c>
      <c r="R25" s="273">
        <f t="shared" si="1"/>
        <v>0</v>
      </c>
      <c r="S25" s="276">
        <f t="shared" si="1"/>
        <v>0</v>
      </c>
      <c r="T25" s="5"/>
      <c r="U25" s="6"/>
      <c r="V25" s="6"/>
      <c r="W25" s="6"/>
      <c r="X25" s="6"/>
      <c r="Y25" s="6"/>
      <c r="Z25" s="6"/>
      <c r="AA25" s="6"/>
      <c r="AB25" s="6"/>
      <c r="AC25" s="6"/>
      <c r="AD25" s="6"/>
      <c r="AE25" s="6"/>
    </row>
    <row r="26" spans="1:31" ht="14.25" thickTop="1" thickBot="1">
      <c r="A26" s="208" t="s">
        <v>61</v>
      </c>
      <c r="B26" s="2">
        <f t="shared" ref="B26:S26" si="2">+B10+B25</f>
        <v>175368</v>
      </c>
      <c r="C26" s="189">
        <f t="shared" si="2"/>
        <v>2.37662</v>
      </c>
      <c r="D26" s="313">
        <f t="shared" si="2"/>
        <v>25.039209999999997</v>
      </c>
      <c r="E26" s="2">
        <f t="shared" si="2"/>
        <v>0</v>
      </c>
      <c r="F26" s="189">
        <f t="shared" si="2"/>
        <v>0</v>
      </c>
      <c r="G26" s="189">
        <f t="shared" si="2"/>
        <v>0</v>
      </c>
      <c r="H26" s="2">
        <f t="shared" si="2"/>
        <v>0</v>
      </c>
      <c r="I26" s="189">
        <f t="shared" si="2"/>
        <v>0</v>
      </c>
      <c r="J26" s="188">
        <f t="shared" si="2"/>
        <v>0</v>
      </c>
      <c r="K26" s="2">
        <f t="shared" si="2"/>
        <v>0</v>
      </c>
      <c r="L26" s="189">
        <f t="shared" si="2"/>
        <v>0</v>
      </c>
      <c r="M26" s="188">
        <f t="shared" si="2"/>
        <v>0</v>
      </c>
      <c r="N26" s="2">
        <f t="shared" si="2"/>
        <v>0</v>
      </c>
      <c r="O26" s="259">
        <f t="shared" si="2"/>
        <v>0</v>
      </c>
      <c r="P26" s="260" t="e">
        <f t="shared" si="2"/>
        <v>#VALUE!</v>
      </c>
      <c r="Q26" s="2">
        <f t="shared" si="2"/>
        <v>0</v>
      </c>
      <c r="R26" s="278">
        <f t="shared" si="2"/>
        <v>0</v>
      </c>
      <c r="S26" s="277">
        <f t="shared" si="2"/>
        <v>0</v>
      </c>
      <c r="T26" s="8"/>
      <c r="U26" s="6"/>
      <c r="V26" s="6"/>
      <c r="W26" s="6"/>
      <c r="X26" s="6"/>
      <c r="Y26" s="6"/>
      <c r="Z26" s="6"/>
      <c r="AA26" s="6"/>
      <c r="AB26" s="6"/>
      <c r="AC26" s="6"/>
      <c r="AD26" s="6"/>
      <c r="AE26" s="6"/>
    </row>
    <row r="27" spans="1:31" ht="13.5" thickTop="1">
      <c r="A27" s="160"/>
      <c r="B27" s="104"/>
      <c r="C27" s="102"/>
      <c r="D27" s="103"/>
      <c r="E27" s="104"/>
      <c r="F27" s="102"/>
      <c r="G27" s="105"/>
      <c r="H27" s="104"/>
      <c r="I27" s="102"/>
      <c r="J27" s="105"/>
      <c r="K27" s="104"/>
      <c r="L27" s="102"/>
      <c r="M27" s="105"/>
      <c r="N27" s="104"/>
      <c r="O27" s="102"/>
      <c r="P27" s="105"/>
      <c r="Q27" s="104"/>
      <c r="R27" s="102"/>
      <c r="S27" s="105"/>
      <c r="T27" s="9"/>
      <c r="U27" s="6"/>
      <c r="V27" s="6"/>
      <c r="W27" s="6"/>
      <c r="X27" s="6"/>
      <c r="Y27" s="6"/>
      <c r="Z27" s="6"/>
      <c r="AA27" s="6"/>
      <c r="AB27" s="6"/>
      <c r="AC27" s="6"/>
      <c r="AD27" s="6"/>
      <c r="AE27" s="6"/>
    </row>
    <row r="28" spans="1:31">
      <c r="B28" s="52"/>
      <c r="C28" s="52"/>
      <c r="D28" s="52"/>
      <c r="E28" s="52"/>
      <c r="F28" s="52"/>
      <c r="G28" s="52"/>
      <c r="H28" s="52"/>
      <c r="I28" s="52"/>
      <c r="J28" s="52"/>
      <c r="K28" s="52"/>
      <c r="L28" s="52"/>
      <c r="M28" s="52"/>
      <c r="N28" s="52"/>
      <c r="O28" s="52"/>
      <c r="P28" s="52"/>
      <c r="Q28" s="52"/>
      <c r="R28" s="52"/>
      <c r="S28" s="52"/>
    </row>
    <row r="29" spans="1:31" hidden="1">
      <c r="B29" s="52"/>
      <c r="C29" s="52">
        <f>C4+6</f>
        <v>8</v>
      </c>
      <c r="D29" s="52">
        <f>D4+6</f>
        <v>8</v>
      </c>
      <c r="E29" s="52"/>
      <c r="F29" s="52">
        <f>F4+6</f>
        <v>9</v>
      </c>
      <c r="G29" s="52">
        <f>G4+6</f>
        <v>9</v>
      </c>
      <c r="H29" s="52"/>
      <c r="I29" s="52">
        <f>I4+6</f>
        <v>10</v>
      </c>
      <c r="J29" s="52">
        <f>J4+6</f>
        <v>10</v>
      </c>
      <c r="K29" s="52"/>
      <c r="L29" s="52">
        <f>L4+6</f>
        <v>11</v>
      </c>
      <c r="M29" s="52">
        <f>M4+6</f>
        <v>11</v>
      </c>
      <c r="N29" s="52"/>
      <c r="O29" s="52">
        <f>O4+6</f>
        <v>12</v>
      </c>
      <c r="P29" s="52">
        <f>P4+6</f>
        <v>12</v>
      </c>
      <c r="Q29" s="52"/>
      <c r="R29" s="52">
        <f>R4+6</f>
        <v>13</v>
      </c>
      <c r="S29" s="52">
        <f>S4+6</f>
        <v>13</v>
      </c>
    </row>
    <row r="30" spans="1:31">
      <c r="A30" s="99"/>
      <c r="B30" s="539"/>
      <c r="C30" s="539" t="s">
        <v>62</v>
      </c>
      <c r="D30" s="292"/>
      <c r="E30" s="539"/>
      <c r="F30" s="539" t="s">
        <v>63</v>
      </c>
      <c r="G30" s="539"/>
      <c r="H30" s="539"/>
      <c r="I30" s="539" t="s">
        <v>64</v>
      </c>
      <c r="J30" s="539"/>
      <c r="K30" s="539"/>
      <c r="L30" s="539" t="s">
        <v>65</v>
      </c>
      <c r="M30" s="539"/>
      <c r="N30" s="539"/>
      <c r="O30" s="539" t="s">
        <v>66</v>
      </c>
      <c r="P30" s="539"/>
      <c r="Q30" s="539"/>
      <c r="R30" s="539" t="s">
        <v>67</v>
      </c>
      <c r="S30" s="539"/>
      <c r="T30" s="160"/>
      <c r="U30" s="160"/>
    </row>
    <row r="31" spans="1:31" ht="38.25">
      <c r="A31" s="176" t="s">
        <v>47</v>
      </c>
      <c r="B31" s="198" t="s">
        <v>6</v>
      </c>
      <c r="C31" s="193" t="s">
        <v>51</v>
      </c>
      <c r="D31" s="183" t="s">
        <v>53</v>
      </c>
      <c r="E31" s="198" t="s">
        <v>6</v>
      </c>
      <c r="F31" s="193" t="s">
        <v>51</v>
      </c>
      <c r="G31" s="183" t="s">
        <v>53</v>
      </c>
      <c r="H31" s="198" t="s">
        <v>6</v>
      </c>
      <c r="I31" s="193" t="s">
        <v>51</v>
      </c>
      <c r="J31" s="183" t="s">
        <v>53</v>
      </c>
      <c r="K31" s="198" t="s">
        <v>48</v>
      </c>
      <c r="L31" s="193" t="s">
        <v>51</v>
      </c>
      <c r="M31" s="183" t="s">
        <v>53</v>
      </c>
      <c r="N31" s="198" t="s">
        <v>6</v>
      </c>
      <c r="O31" s="193" t="s">
        <v>51</v>
      </c>
      <c r="P31" s="183" t="s">
        <v>53</v>
      </c>
      <c r="Q31" s="198" t="s">
        <v>6</v>
      </c>
      <c r="R31" s="193" t="s">
        <v>51</v>
      </c>
      <c r="S31" s="183" t="s">
        <v>53</v>
      </c>
      <c r="T31" s="183" t="s">
        <v>54</v>
      </c>
      <c r="V31" s="11"/>
    </row>
    <row r="32" spans="1:31">
      <c r="A32" s="176" t="s">
        <v>55</v>
      </c>
      <c r="B32" s="198"/>
      <c r="C32" s="196"/>
      <c r="D32" s="199"/>
      <c r="E32" s="198"/>
      <c r="F32" s="196"/>
      <c r="G32" s="199"/>
      <c r="H32" s="198"/>
      <c r="I32" s="196"/>
      <c r="J32" s="196"/>
      <c r="K32" s="198"/>
      <c r="L32" s="196"/>
      <c r="M32" s="199"/>
      <c r="N32" s="198"/>
      <c r="O32" s="196"/>
      <c r="P32" s="199"/>
      <c r="Q32" s="198"/>
      <c r="R32" s="196"/>
      <c r="S32" s="199"/>
      <c r="T32" s="200"/>
    </row>
    <row r="33" spans="1:31">
      <c r="A33" s="96" t="s">
        <v>8</v>
      </c>
      <c r="B33" s="139">
        <v>0</v>
      </c>
      <c r="C33" s="423"/>
      <c r="D33" s="424"/>
      <c r="E33" s="136">
        <v>0</v>
      </c>
      <c r="F33" s="419"/>
      <c r="G33" s="419"/>
      <c r="H33" s="136">
        <v>0</v>
      </c>
      <c r="I33" s="424"/>
      <c r="J33" s="424"/>
      <c r="K33" s="138">
        <v>0</v>
      </c>
      <c r="L33" s="570"/>
      <c r="M33" s="419"/>
      <c r="N33" s="136">
        <v>0</v>
      </c>
      <c r="O33" s="419"/>
      <c r="P33" s="419"/>
      <c r="Q33" s="136">
        <v>0</v>
      </c>
      <c r="R33" s="419"/>
      <c r="S33" s="420"/>
      <c r="T33" s="4">
        <v>5276</v>
      </c>
    </row>
    <row r="34" spans="1:31" ht="13.5" thickBot="1">
      <c r="A34" s="201" t="s">
        <v>57</v>
      </c>
      <c r="B34" s="169">
        <f t="shared" ref="B34:K34" si="3">SUM(B33:B33)</f>
        <v>0</v>
      </c>
      <c r="C34" s="294">
        <f t="shared" si="3"/>
        <v>0</v>
      </c>
      <c r="D34" s="295">
        <f t="shared" si="3"/>
        <v>0</v>
      </c>
      <c r="E34" s="137">
        <f t="shared" si="3"/>
        <v>0</v>
      </c>
      <c r="F34" s="300">
        <f t="shared" si="3"/>
        <v>0</v>
      </c>
      <c r="G34" s="301">
        <f t="shared" si="3"/>
        <v>0</v>
      </c>
      <c r="H34" s="137">
        <f t="shared" si="3"/>
        <v>0</v>
      </c>
      <c r="I34" s="294">
        <f t="shared" si="3"/>
        <v>0</v>
      </c>
      <c r="J34" s="295">
        <f t="shared" si="3"/>
        <v>0</v>
      </c>
      <c r="K34" s="137">
        <f t="shared" si="3"/>
        <v>0</v>
      </c>
      <c r="L34" s="571">
        <f t="shared" ref="L34:S34" si="4">SUM(L33:L33)</f>
        <v>0</v>
      </c>
      <c r="M34" s="295">
        <f t="shared" si="4"/>
        <v>0</v>
      </c>
      <c r="N34" s="137">
        <f t="shared" si="4"/>
        <v>0</v>
      </c>
      <c r="O34" s="294">
        <f>SUM(O33:O33)</f>
        <v>0</v>
      </c>
      <c r="P34" s="295">
        <f t="shared" si="4"/>
        <v>0</v>
      </c>
      <c r="Q34" s="137">
        <f t="shared" si="4"/>
        <v>0</v>
      </c>
      <c r="R34" s="294">
        <f t="shared" si="4"/>
        <v>0</v>
      </c>
      <c r="S34" s="295">
        <f t="shared" si="4"/>
        <v>0</v>
      </c>
      <c r="T34" s="5"/>
    </row>
    <row r="35" spans="1:31" ht="13.5" thickTop="1">
      <c r="A35" s="176" t="s">
        <v>58</v>
      </c>
      <c r="B35" s="206"/>
      <c r="C35" s="205"/>
      <c r="D35" s="204"/>
      <c r="E35" s="206"/>
      <c r="F35" s="205"/>
      <c r="G35" s="204"/>
      <c r="H35" s="206"/>
      <c r="I35" s="205"/>
      <c r="J35" s="204"/>
      <c r="K35" s="206"/>
      <c r="L35" s="572"/>
      <c r="M35" s="204"/>
      <c r="N35" s="206"/>
      <c r="O35" s="205"/>
      <c r="P35" s="204"/>
      <c r="Q35" s="206"/>
      <c r="R35" s="205"/>
      <c r="S35" s="207"/>
      <c r="T35" s="200"/>
    </row>
    <row r="36" spans="1:31">
      <c r="A36" s="53" t="s">
        <v>11</v>
      </c>
      <c r="B36" s="172">
        <v>0</v>
      </c>
      <c r="C36" s="419"/>
      <c r="D36" s="419"/>
      <c r="E36" s="172">
        <v>0</v>
      </c>
      <c r="F36" s="425"/>
      <c r="G36" s="425"/>
      <c r="H36" s="172">
        <v>0</v>
      </c>
      <c r="I36" s="425"/>
      <c r="J36" s="419"/>
      <c r="K36" s="172">
        <v>0</v>
      </c>
      <c r="L36" s="570"/>
      <c r="M36" s="419"/>
      <c r="N36" s="172">
        <v>0</v>
      </c>
      <c r="O36" s="419"/>
      <c r="P36" s="418"/>
      <c r="Q36" s="172">
        <v>0</v>
      </c>
      <c r="R36" s="419"/>
      <c r="S36" s="420"/>
      <c r="T36" s="7">
        <v>138123</v>
      </c>
    </row>
    <row r="37" spans="1:31">
      <c r="A37" s="53" t="s">
        <v>12</v>
      </c>
      <c r="B37" s="224">
        <v>0</v>
      </c>
      <c r="C37" s="419"/>
      <c r="D37" s="420"/>
      <c r="E37" s="224">
        <v>0</v>
      </c>
      <c r="F37" s="425"/>
      <c r="G37" s="426"/>
      <c r="H37" s="224">
        <v>0</v>
      </c>
      <c r="I37" s="419"/>
      <c r="J37" s="420"/>
      <c r="K37" s="224">
        <v>0</v>
      </c>
      <c r="L37" s="570"/>
      <c r="M37" s="420"/>
      <c r="N37" s="224">
        <v>0</v>
      </c>
      <c r="O37" s="419"/>
      <c r="P37" s="420"/>
      <c r="Q37" s="224">
        <v>0</v>
      </c>
      <c r="R37" s="419"/>
      <c r="S37" s="420"/>
      <c r="T37" s="4"/>
    </row>
    <row r="38" spans="1:31">
      <c r="A38" s="53" t="str">
        <f>A14</f>
        <v>Over Generation Pilot</v>
      </c>
      <c r="B38" s="173">
        <v>0</v>
      </c>
      <c r="C38" s="419"/>
      <c r="D38" s="420"/>
      <c r="E38" s="173">
        <v>0</v>
      </c>
      <c r="F38" s="425"/>
      <c r="G38" s="426"/>
      <c r="H38" s="173">
        <v>0</v>
      </c>
      <c r="I38" s="419"/>
      <c r="J38" s="420"/>
      <c r="K38" s="173">
        <v>0</v>
      </c>
      <c r="L38" s="570"/>
      <c r="M38" s="420"/>
      <c r="N38" s="173">
        <v>0</v>
      </c>
      <c r="O38" s="419"/>
      <c r="P38" s="420"/>
      <c r="Q38" s="173">
        <v>0</v>
      </c>
      <c r="R38" s="419"/>
      <c r="S38" s="420"/>
      <c r="T38" s="4"/>
    </row>
    <row r="39" spans="1:31">
      <c r="A39" s="223" t="str">
        <f>A15</f>
        <v>Small Business Energy Management Pilot</v>
      </c>
      <c r="B39" s="173">
        <v>0</v>
      </c>
      <c r="C39" s="419"/>
      <c r="D39" s="420"/>
      <c r="E39" s="173">
        <v>0</v>
      </c>
      <c r="F39" s="419"/>
      <c r="G39" s="420"/>
      <c r="H39" s="173">
        <v>0</v>
      </c>
      <c r="I39" s="419"/>
      <c r="J39" s="420"/>
      <c r="K39" s="173">
        <v>0</v>
      </c>
      <c r="L39" s="570"/>
      <c r="M39" s="420"/>
      <c r="N39" s="173">
        <v>0</v>
      </c>
      <c r="O39" s="419"/>
      <c r="P39" s="419"/>
      <c r="Q39" s="173">
        <v>0</v>
      </c>
      <c r="R39" s="425"/>
      <c r="S39" s="420"/>
      <c r="T39" s="4"/>
      <c r="U39" s="6"/>
      <c r="V39" s="6"/>
      <c r="W39" s="6"/>
      <c r="X39" s="6"/>
      <c r="Y39" s="6"/>
      <c r="Z39" s="6"/>
      <c r="AA39" s="6"/>
      <c r="AB39" s="6"/>
      <c r="AC39" s="6"/>
      <c r="AD39" s="6"/>
      <c r="AE39" s="6"/>
    </row>
    <row r="40" spans="1:31">
      <c r="A40" s="317" t="s">
        <v>17</v>
      </c>
      <c r="B40" s="173">
        <v>0</v>
      </c>
      <c r="C40" s="419"/>
      <c r="D40" s="419"/>
      <c r="E40" s="173">
        <v>0</v>
      </c>
      <c r="F40" s="425"/>
      <c r="G40" s="425"/>
      <c r="H40" s="173">
        <v>0</v>
      </c>
      <c r="I40" s="419"/>
      <c r="J40" s="419"/>
      <c r="K40" s="173">
        <v>0</v>
      </c>
      <c r="L40" s="570"/>
      <c r="M40" s="419"/>
      <c r="N40" s="173">
        <v>0</v>
      </c>
      <c r="O40" s="419"/>
      <c r="P40" s="420"/>
      <c r="Q40" s="173">
        <v>0</v>
      </c>
      <c r="R40" s="419"/>
      <c r="S40" s="420"/>
      <c r="T40" s="4">
        <v>663393.5</v>
      </c>
    </row>
    <row r="41" spans="1:31">
      <c r="A41" s="317" t="s">
        <v>20</v>
      </c>
      <c r="B41" s="173">
        <v>0</v>
      </c>
      <c r="C41" s="419"/>
      <c r="D41" s="419"/>
      <c r="E41" s="173">
        <v>0</v>
      </c>
      <c r="F41" s="425"/>
      <c r="G41" s="425"/>
      <c r="H41" s="173">
        <v>0</v>
      </c>
      <c r="I41" s="419"/>
      <c r="J41" s="419"/>
      <c r="K41" s="173">
        <v>0</v>
      </c>
      <c r="L41" s="570"/>
      <c r="M41" s="419"/>
      <c r="N41" s="173">
        <v>0</v>
      </c>
      <c r="O41" s="419"/>
      <c r="P41" s="420"/>
      <c r="Q41" s="173">
        <v>0</v>
      </c>
      <c r="R41" s="419"/>
      <c r="S41" s="420"/>
      <c r="T41" s="4"/>
    </row>
    <row r="42" spans="1:31">
      <c r="A42" s="317" t="s">
        <v>21</v>
      </c>
      <c r="B42" s="515">
        <v>0</v>
      </c>
      <c r="C42" s="419"/>
      <c r="D42" s="419"/>
      <c r="E42" s="515">
        <v>0</v>
      </c>
      <c r="F42" s="425"/>
      <c r="G42" s="425"/>
      <c r="H42" s="515">
        <v>0</v>
      </c>
      <c r="I42" s="425"/>
      <c r="J42" s="419"/>
      <c r="K42" s="515">
        <v>0</v>
      </c>
      <c r="L42" s="570"/>
      <c r="M42" s="419"/>
      <c r="N42" s="515">
        <v>0</v>
      </c>
      <c r="O42" s="419"/>
      <c r="P42" s="420"/>
      <c r="Q42" s="515">
        <v>0</v>
      </c>
      <c r="R42" s="419"/>
      <c r="S42" s="420"/>
      <c r="T42" s="4">
        <v>157189</v>
      </c>
    </row>
    <row r="43" spans="1:31">
      <c r="A43" s="317" t="s">
        <v>23</v>
      </c>
      <c r="B43" s="515">
        <v>0</v>
      </c>
      <c r="C43" s="419"/>
      <c r="D43" s="419"/>
      <c r="E43" s="515">
        <v>0</v>
      </c>
      <c r="F43" s="425"/>
      <c r="G43" s="425"/>
      <c r="H43" s="515">
        <v>0</v>
      </c>
      <c r="I43" s="419"/>
      <c r="J43" s="419"/>
      <c r="K43" s="515">
        <v>0</v>
      </c>
      <c r="L43" s="570"/>
      <c r="M43" s="419"/>
      <c r="N43" s="515">
        <v>0</v>
      </c>
      <c r="O43" s="419"/>
      <c r="P43" s="420"/>
      <c r="Q43" s="515">
        <v>0</v>
      </c>
      <c r="R43" s="419"/>
      <c r="S43" s="420"/>
      <c r="T43" s="4">
        <v>157189</v>
      </c>
    </row>
    <row r="44" spans="1:31">
      <c r="A44" s="96" t="s">
        <v>24</v>
      </c>
      <c r="B44" s="173">
        <v>0</v>
      </c>
      <c r="C44" s="419"/>
      <c r="D44" s="419"/>
      <c r="E44" s="173">
        <v>0</v>
      </c>
      <c r="F44" s="425"/>
      <c r="G44" s="425"/>
      <c r="H44" s="173">
        <v>0</v>
      </c>
      <c r="I44" s="419"/>
      <c r="J44" s="419"/>
      <c r="K44" s="173">
        <v>0</v>
      </c>
      <c r="L44" s="570"/>
      <c r="M44" s="419"/>
      <c r="N44" s="173">
        <v>0</v>
      </c>
      <c r="O44" s="419"/>
      <c r="P44" s="420"/>
      <c r="Q44" s="173">
        <v>0</v>
      </c>
      <c r="R44" s="419"/>
      <c r="S44" s="420"/>
      <c r="T44" s="4">
        <v>18875</v>
      </c>
      <c r="V44" s="578" t="s">
        <v>56</v>
      </c>
    </row>
    <row r="45" spans="1:31">
      <c r="A45" s="96" t="s">
        <v>25</v>
      </c>
      <c r="B45" s="173">
        <v>0</v>
      </c>
      <c r="C45" s="419"/>
      <c r="D45" s="419"/>
      <c r="E45" s="173">
        <v>0</v>
      </c>
      <c r="F45" s="425"/>
      <c r="G45" s="425"/>
      <c r="H45" s="173">
        <v>0</v>
      </c>
      <c r="I45" s="419"/>
      <c r="J45" s="419"/>
      <c r="K45" s="173">
        <v>0</v>
      </c>
      <c r="L45" s="570"/>
      <c r="M45" s="419"/>
      <c r="N45" s="173">
        <v>0</v>
      </c>
      <c r="O45" s="419"/>
      <c r="P45" s="420"/>
      <c r="Q45" s="173">
        <v>0</v>
      </c>
      <c r="R45" s="419"/>
      <c r="S45" s="420"/>
      <c r="T45" s="4">
        <v>18875</v>
      </c>
    </row>
    <row r="46" spans="1:31" s="166" customFormat="1">
      <c r="A46" s="317" t="s">
        <v>59</v>
      </c>
      <c r="B46" s="224">
        <v>0</v>
      </c>
      <c r="C46" s="419"/>
      <c r="D46" s="419"/>
      <c r="E46" s="224">
        <v>0</v>
      </c>
      <c r="F46" s="425"/>
      <c r="G46" s="425"/>
      <c r="H46" s="224">
        <v>0</v>
      </c>
      <c r="I46" s="425"/>
      <c r="J46" s="419"/>
      <c r="K46" s="224">
        <v>0</v>
      </c>
      <c r="L46" s="570"/>
      <c r="M46" s="419"/>
      <c r="N46" s="224">
        <v>0</v>
      </c>
      <c r="O46" s="419"/>
      <c r="P46" s="420"/>
      <c r="Q46" s="224">
        <v>0</v>
      </c>
      <c r="R46" s="419"/>
      <c r="S46" s="420"/>
      <c r="T46" s="610"/>
    </row>
    <row r="47" spans="1:31">
      <c r="A47" s="96" t="s">
        <v>26</v>
      </c>
      <c r="B47" s="173">
        <v>0</v>
      </c>
      <c r="C47" s="419"/>
      <c r="D47" s="419"/>
      <c r="E47" s="173">
        <v>0</v>
      </c>
      <c r="F47" s="425"/>
      <c r="G47" s="425"/>
      <c r="H47" s="173">
        <v>0</v>
      </c>
      <c r="I47" s="425"/>
      <c r="J47" s="419"/>
      <c r="K47" s="173">
        <v>0</v>
      </c>
      <c r="L47" s="570"/>
      <c r="M47" s="419"/>
      <c r="N47" s="173">
        <v>0</v>
      </c>
      <c r="O47" s="419"/>
      <c r="P47" s="420"/>
      <c r="Q47" s="173">
        <v>0</v>
      </c>
      <c r="R47" s="419"/>
      <c r="S47" s="420"/>
      <c r="T47" s="4"/>
    </row>
    <row r="48" spans="1:31">
      <c r="A48" s="53" t="s">
        <v>27</v>
      </c>
      <c r="B48" s="315">
        <v>0</v>
      </c>
      <c r="C48" s="419"/>
      <c r="D48" s="419"/>
      <c r="E48" s="315">
        <v>0</v>
      </c>
      <c r="F48" s="425"/>
      <c r="G48" s="425"/>
      <c r="H48" s="315">
        <v>0</v>
      </c>
      <c r="I48" s="425"/>
      <c r="J48" s="420"/>
      <c r="K48" s="315">
        <v>0</v>
      </c>
      <c r="L48" s="570"/>
      <c r="M48" s="419"/>
      <c r="N48" s="315">
        <v>0</v>
      </c>
      <c r="O48" s="419"/>
      <c r="P48" s="420"/>
      <c r="Q48" s="315">
        <v>0</v>
      </c>
      <c r="R48" s="419"/>
      <c r="S48" s="420"/>
      <c r="T48" s="4"/>
    </row>
    <row r="49" spans="1:26" ht="13.5" thickBot="1">
      <c r="A49" s="201" t="s">
        <v>60</v>
      </c>
      <c r="B49" s="3">
        <f t="shared" ref="B49:S49" si="5">SUM(B36:B48)</f>
        <v>0</v>
      </c>
      <c r="C49" s="290">
        <f t="shared" si="5"/>
        <v>0</v>
      </c>
      <c r="D49" s="261">
        <f t="shared" si="5"/>
        <v>0</v>
      </c>
      <c r="E49" s="3">
        <f t="shared" si="5"/>
        <v>0</v>
      </c>
      <c r="F49" s="296">
        <f t="shared" si="5"/>
        <v>0</v>
      </c>
      <c r="G49" s="297">
        <f t="shared" si="5"/>
        <v>0</v>
      </c>
      <c r="H49" s="3">
        <f t="shared" si="5"/>
        <v>0</v>
      </c>
      <c r="I49" s="290">
        <f t="shared" si="5"/>
        <v>0</v>
      </c>
      <c r="J49" s="261">
        <f t="shared" si="5"/>
        <v>0</v>
      </c>
      <c r="K49" s="3">
        <f t="shared" si="5"/>
        <v>0</v>
      </c>
      <c r="L49" s="573">
        <f t="shared" si="5"/>
        <v>0</v>
      </c>
      <c r="M49" s="261">
        <f t="shared" si="5"/>
        <v>0</v>
      </c>
      <c r="N49" s="3">
        <f t="shared" si="5"/>
        <v>0</v>
      </c>
      <c r="O49" s="290">
        <f t="shared" si="5"/>
        <v>0</v>
      </c>
      <c r="P49" s="261">
        <f t="shared" si="5"/>
        <v>0</v>
      </c>
      <c r="Q49" s="3">
        <f t="shared" si="5"/>
        <v>0</v>
      </c>
      <c r="R49" s="290">
        <f t="shared" si="5"/>
        <v>0</v>
      </c>
      <c r="S49" s="261">
        <f t="shared" si="5"/>
        <v>0</v>
      </c>
      <c r="T49" s="9"/>
    </row>
    <row r="50" spans="1:26" ht="14.25" thickTop="1" thickBot="1">
      <c r="A50" s="208" t="s">
        <v>61</v>
      </c>
      <c r="B50" s="2">
        <f t="shared" ref="B50:S50" si="6">+B34+B49</f>
        <v>0</v>
      </c>
      <c r="C50" s="291">
        <f t="shared" si="6"/>
        <v>0</v>
      </c>
      <c r="D50" s="260">
        <f t="shared" si="6"/>
        <v>0</v>
      </c>
      <c r="E50" s="2">
        <f t="shared" si="6"/>
        <v>0</v>
      </c>
      <c r="F50" s="298">
        <f t="shared" si="6"/>
        <v>0</v>
      </c>
      <c r="G50" s="299">
        <f t="shared" si="6"/>
        <v>0</v>
      </c>
      <c r="H50" s="2">
        <f t="shared" si="6"/>
        <v>0</v>
      </c>
      <c r="I50" s="291">
        <f t="shared" si="6"/>
        <v>0</v>
      </c>
      <c r="J50" s="260">
        <f t="shared" si="6"/>
        <v>0</v>
      </c>
      <c r="K50" s="2">
        <f t="shared" si="6"/>
        <v>0</v>
      </c>
      <c r="L50" s="574">
        <f t="shared" si="6"/>
        <v>0</v>
      </c>
      <c r="M50" s="260">
        <f t="shared" si="6"/>
        <v>0</v>
      </c>
      <c r="N50" s="2">
        <f t="shared" si="6"/>
        <v>0</v>
      </c>
      <c r="O50" s="291">
        <f t="shared" si="6"/>
        <v>0</v>
      </c>
      <c r="P50" s="260">
        <f t="shared" si="6"/>
        <v>0</v>
      </c>
      <c r="Q50" s="2">
        <f t="shared" si="6"/>
        <v>0</v>
      </c>
      <c r="R50" s="291">
        <f t="shared" si="6"/>
        <v>0</v>
      </c>
      <c r="S50" s="260">
        <f t="shared" si="6"/>
        <v>0</v>
      </c>
      <c r="T50" s="12"/>
      <c r="U50" s="6"/>
      <c r="V50" s="12"/>
      <c r="W50" s="12"/>
      <c r="X50" s="6"/>
      <c r="Y50" s="12"/>
      <c r="Z50" s="12"/>
    </row>
    <row r="51" spans="1:26" ht="13.5" thickTop="1">
      <c r="A51" s="160"/>
      <c r="B51" s="12"/>
      <c r="C51" s="12"/>
      <c r="D51" s="6"/>
      <c r="E51" s="12"/>
      <c r="F51" s="12"/>
      <c r="G51" s="12"/>
      <c r="H51" s="6"/>
      <c r="I51" s="12"/>
      <c r="J51" s="12"/>
      <c r="K51" s="12"/>
      <c r="L51" s="12"/>
      <c r="M51" s="6"/>
      <c r="N51" s="12"/>
      <c r="O51" s="12"/>
      <c r="P51" s="12"/>
      <c r="Q51" s="6"/>
      <c r="R51" s="12"/>
      <c r="S51" s="12"/>
      <c r="T51" s="12"/>
      <c r="U51" s="6"/>
      <c r="V51" s="6"/>
      <c r="W51" s="12"/>
      <c r="X51" s="6"/>
      <c r="Y51" s="6"/>
      <c r="Z51" s="12"/>
    </row>
    <row r="52" spans="1:26" ht="12.75" customHeight="1">
      <c r="A52" s="281" t="s">
        <v>68</v>
      </c>
      <c r="B52" s="209"/>
      <c r="C52" s="209"/>
      <c r="D52" s="209"/>
      <c r="E52" s="541"/>
      <c r="F52" s="210"/>
      <c r="G52" s="209"/>
      <c r="H52" s="210"/>
      <c r="I52" s="209"/>
      <c r="J52" s="209"/>
      <c r="K52" s="209"/>
      <c r="L52" s="209"/>
      <c r="M52" s="209"/>
      <c r="N52" s="209"/>
      <c r="O52" s="209"/>
      <c r="P52" s="211"/>
      <c r="Q52" s="209"/>
      <c r="R52" s="209"/>
      <c r="S52" s="209"/>
      <c r="T52" s="13"/>
      <c r="U52" s="13"/>
      <c r="V52" s="13"/>
      <c r="W52" s="13"/>
      <c r="X52" s="13"/>
      <c r="Y52" s="13"/>
      <c r="Z52" s="13"/>
    </row>
    <row r="53" spans="1:26" ht="21.6" customHeight="1">
      <c r="A53" s="704" t="s">
        <v>69</v>
      </c>
      <c r="B53" s="704"/>
      <c r="C53" s="704"/>
      <c r="D53" s="704"/>
      <c r="E53" s="704"/>
      <c r="F53" s="704"/>
      <c r="G53" s="704"/>
      <c r="H53" s="704"/>
      <c r="I53" s="704"/>
      <c r="J53" s="704"/>
      <c r="K53" s="704"/>
      <c r="L53" s="704"/>
      <c r="M53" s="704"/>
      <c r="N53" s="704"/>
      <c r="O53" s="704"/>
    </row>
    <row r="54" spans="1:26" ht="21" customHeight="1">
      <c r="A54" s="704" t="s">
        <v>70</v>
      </c>
      <c r="B54" s="704"/>
      <c r="C54" s="704"/>
      <c r="D54" s="704"/>
      <c r="E54" s="704"/>
      <c r="F54" s="704"/>
      <c r="G54" s="704"/>
      <c r="H54" s="704"/>
      <c r="I54" s="704"/>
      <c r="J54" s="704"/>
      <c r="K54" s="704"/>
      <c r="L54" s="704"/>
      <c r="M54" s="704"/>
      <c r="N54" s="704"/>
      <c r="O54" s="704"/>
      <c r="P54" s="13"/>
      <c r="Q54" s="13"/>
      <c r="R54" s="13"/>
      <c r="S54" s="13"/>
      <c r="T54" s="160"/>
      <c r="U54" s="160"/>
      <c r="V54" s="160"/>
      <c r="W54" s="160"/>
      <c r="X54" s="160"/>
      <c r="Y54" s="160"/>
      <c r="Z54" s="160"/>
    </row>
    <row r="55" spans="1:26" s="166" customFormat="1" ht="14.25">
      <c r="A55" s="678"/>
      <c r="B55" s="622"/>
      <c r="C55" s="622"/>
      <c r="D55" s="622"/>
      <c r="E55" s="622"/>
      <c r="F55" s="622"/>
      <c r="G55" s="622"/>
      <c r="H55" s="622"/>
      <c r="I55" s="622"/>
      <c r="J55" s="622"/>
      <c r="K55" s="622"/>
      <c r="L55" s="622"/>
      <c r="M55" s="622"/>
      <c r="N55" s="623"/>
      <c r="O55" s="622"/>
      <c r="P55" s="516"/>
      <c r="Q55" s="516"/>
      <c r="R55" s="516"/>
      <c r="S55" s="516"/>
      <c r="T55" s="220"/>
      <c r="U55" s="220"/>
      <c r="V55" s="220"/>
      <c r="W55" s="220"/>
      <c r="X55" s="220"/>
      <c r="Y55" s="220"/>
      <c r="Z55" s="220"/>
    </row>
    <row r="56" spans="1:26" s="166" customFormat="1" ht="14.65" customHeight="1">
      <c r="A56" s="670" t="s">
        <v>71</v>
      </c>
      <c r="B56" s="220"/>
      <c r="C56" s="220"/>
      <c r="D56" s="220"/>
      <c r="E56" s="220"/>
      <c r="F56" s="220"/>
      <c r="G56" s="220"/>
      <c r="H56" s="220"/>
      <c r="I56" s="220"/>
      <c r="J56" s="220"/>
      <c r="K56" s="220"/>
      <c r="L56" s="220"/>
      <c r="M56" s="220"/>
      <c r="N56" s="220"/>
    </row>
    <row r="57" spans="1:26">
      <c r="A57" s="630"/>
      <c r="B57" s="216"/>
      <c r="C57" s="216"/>
      <c r="D57" s="216"/>
      <c r="E57" s="216"/>
      <c r="F57" s="216"/>
      <c r="G57" s="216"/>
      <c r="H57" s="216"/>
      <c r="I57" s="216"/>
      <c r="J57" s="216"/>
      <c r="K57" s="216"/>
      <c r="L57" s="216"/>
      <c r="M57" s="216"/>
      <c r="N57" s="216"/>
      <c r="O57" s="631"/>
    </row>
    <row r="58" spans="1:26" ht="15">
      <c r="A58" s="262" t="s">
        <v>72</v>
      </c>
    </row>
  </sheetData>
  <mergeCells count="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O28"/>
  <sheetViews>
    <sheetView topLeftCell="A17" zoomScaleNormal="100" zoomScaleSheetLayoutView="100" workbookViewId="0">
      <selection activeCell="D33" sqref="D33"/>
    </sheetView>
  </sheetViews>
  <sheetFormatPr defaultColWidth="9.140625" defaultRowHeight="12.75"/>
  <cols>
    <col min="1" max="1" width="33.5703125" customWidth="1"/>
    <col min="2" max="2" width="8.28515625" customWidth="1"/>
    <col min="3" max="3" width="9.140625" customWidth="1"/>
    <col min="4" max="4" width="9" customWidth="1"/>
    <col min="5" max="9" width="10.5703125" customWidth="1"/>
    <col min="10" max="10" width="11.5703125" customWidth="1"/>
    <col min="11" max="11" width="10.5703125" customWidth="1"/>
    <col min="12" max="12" width="10.85546875" customWidth="1"/>
    <col min="13" max="13" width="10.28515625" customWidth="1"/>
    <col min="14" max="14" width="18.7109375" style="167" customWidth="1"/>
    <col min="15" max="15" width="149.5703125" customWidth="1"/>
  </cols>
  <sheetData>
    <row r="2" spans="1:15">
      <c r="A2" s="49"/>
      <c r="H2" s="162" t="s">
        <v>39</v>
      </c>
      <c r="N2" s="447"/>
    </row>
    <row r="3" spans="1:15">
      <c r="E3" s="448"/>
      <c r="H3" s="165" t="str">
        <f>'Program MW '!H3</f>
        <v>January 2020</v>
      </c>
      <c r="N3" s="447"/>
    </row>
    <row r="4" spans="1:15">
      <c r="E4" s="164"/>
      <c r="F4" s="164"/>
      <c r="G4" s="164"/>
      <c r="I4" s="164"/>
      <c r="N4" s="447"/>
    </row>
    <row r="5" spans="1:15">
      <c r="B5" s="164"/>
      <c r="C5" s="164"/>
      <c r="D5" s="164"/>
      <c r="F5" s="163"/>
      <c r="N5" s="447"/>
      <c r="O5" s="52"/>
    </row>
    <row r="6" spans="1:15">
      <c r="F6" s="163"/>
      <c r="N6" s="447"/>
    </row>
    <row r="7" spans="1:15" ht="13.5" customHeight="1">
      <c r="A7" s="705" t="s">
        <v>73</v>
      </c>
      <c r="B7" s="706"/>
      <c r="C7" s="706"/>
      <c r="D7" s="706"/>
      <c r="E7" s="706"/>
      <c r="F7" s="706"/>
      <c r="G7" s="706"/>
      <c r="H7" s="706"/>
      <c r="I7" s="706"/>
      <c r="J7" s="706"/>
      <c r="K7" s="706"/>
      <c r="L7" s="706"/>
      <c r="M7" s="706"/>
      <c r="N7" s="707"/>
      <c r="O7" s="540"/>
    </row>
    <row r="8" spans="1:15" ht="38.25" customHeight="1">
      <c r="A8" s="51" t="s">
        <v>1</v>
      </c>
      <c r="B8" s="318" t="s">
        <v>42</v>
      </c>
      <c r="C8" s="318" t="s">
        <v>43</v>
      </c>
      <c r="D8" s="625" t="s">
        <v>74</v>
      </c>
      <c r="E8" s="625" t="s">
        <v>75</v>
      </c>
      <c r="F8" s="625" t="s">
        <v>76</v>
      </c>
      <c r="G8" s="625" t="s">
        <v>77</v>
      </c>
      <c r="H8" s="625" t="s">
        <v>78</v>
      </c>
      <c r="I8" s="625" t="s">
        <v>79</v>
      </c>
      <c r="J8" s="625" t="s">
        <v>80</v>
      </c>
      <c r="K8" s="625" t="s">
        <v>303</v>
      </c>
      <c r="L8" s="625" t="s">
        <v>81</v>
      </c>
      <c r="M8" s="625" t="s">
        <v>82</v>
      </c>
      <c r="N8" s="626" t="s">
        <v>83</v>
      </c>
      <c r="O8" s="318" t="s">
        <v>84</v>
      </c>
    </row>
    <row r="9" spans="1:15" ht="75.75" customHeight="1">
      <c r="A9" s="634" t="s">
        <v>8</v>
      </c>
      <c r="B9" s="635">
        <v>162.31</v>
      </c>
      <c r="C9" s="635">
        <v>108.46</v>
      </c>
      <c r="D9" s="629"/>
      <c r="E9" s="629"/>
      <c r="F9" s="629"/>
      <c r="G9" s="629"/>
      <c r="H9" s="629"/>
      <c r="I9" s="629"/>
      <c r="J9" s="629"/>
      <c r="K9" s="629"/>
      <c r="L9" s="629"/>
      <c r="M9" s="629"/>
      <c r="N9" s="636">
        <v>5432</v>
      </c>
      <c r="O9" s="615" t="s">
        <v>85</v>
      </c>
    </row>
    <row r="10" spans="1:15" ht="75.75" customHeight="1">
      <c r="A10" s="637" t="s">
        <v>11</v>
      </c>
      <c r="B10" s="638">
        <v>0</v>
      </c>
      <c r="C10" s="638">
        <v>0</v>
      </c>
      <c r="D10" s="635"/>
      <c r="E10" s="635"/>
      <c r="F10" s="635"/>
      <c r="G10" s="635"/>
      <c r="H10" s="635"/>
      <c r="I10" s="635"/>
      <c r="J10" s="635"/>
      <c r="K10" s="635"/>
      <c r="L10" s="635"/>
      <c r="M10" s="635"/>
      <c r="N10" s="639">
        <v>25707</v>
      </c>
      <c r="O10" s="615" t="s">
        <v>86</v>
      </c>
    </row>
    <row r="11" spans="1:15" ht="75.75" customHeight="1">
      <c r="A11" s="637" t="s">
        <v>17</v>
      </c>
      <c r="B11" s="638">
        <v>0</v>
      </c>
      <c r="C11" s="638">
        <v>0</v>
      </c>
      <c r="D11" s="635"/>
      <c r="E11" s="635"/>
      <c r="F11" s="635"/>
      <c r="G11" s="635"/>
      <c r="H11" s="635"/>
      <c r="I11" s="635"/>
      <c r="J11" s="635"/>
      <c r="K11" s="635"/>
      <c r="L11" s="635"/>
      <c r="M11" s="635"/>
      <c r="N11" s="640">
        <v>718570</v>
      </c>
      <c r="O11" s="615" t="s">
        <v>87</v>
      </c>
    </row>
    <row r="12" spans="1:15" ht="75.75" customHeight="1">
      <c r="A12" s="637" t="s">
        <v>20</v>
      </c>
      <c r="B12" s="638">
        <v>0</v>
      </c>
      <c r="C12" s="638">
        <v>0</v>
      </c>
      <c r="D12" s="635"/>
      <c r="E12" s="635"/>
      <c r="F12" s="635"/>
      <c r="G12" s="635"/>
      <c r="H12" s="635"/>
      <c r="I12" s="635"/>
      <c r="J12" s="635"/>
      <c r="K12" s="635"/>
      <c r="L12" s="635"/>
      <c r="M12" s="635"/>
      <c r="N12" s="640">
        <v>133178</v>
      </c>
      <c r="O12" s="615" t="s">
        <v>88</v>
      </c>
    </row>
    <row r="13" spans="1:15" ht="75.75" customHeight="1">
      <c r="A13" s="637" t="s">
        <v>21</v>
      </c>
      <c r="B13" s="641">
        <v>0</v>
      </c>
      <c r="C13" s="641">
        <v>0</v>
      </c>
      <c r="D13" s="635"/>
      <c r="E13" s="635"/>
      <c r="F13" s="635"/>
      <c r="G13" s="635"/>
      <c r="H13" s="635"/>
      <c r="I13" s="635"/>
      <c r="J13" s="635"/>
      <c r="K13" s="635"/>
      <c r="L13" s="635"/>
      <c r="M13" s="635"/>
      <c r="N13" s="640">
        <v>718570</v>
      </c>
      <c r="O13" s="615" t="s">
        <v>89</v>
      </c>
    </row>
    <row r="14" spans="1:15" ht="75.75" customHeight="1">
      <c r="A14" s="637" t="s">
        <v>23</v>
      </c>
      <c r="B14" s="641">
        <v>0</v>
      </c>
      <c r="C14" s="641">
        <v>0</v>
      </c>
      <c r="D14" s="635"/>
      <c r="E14" s="635"/>
      <c r="F14" s="635"/>
      <c r="G14" s="635"/>
      <c r="H14" s="635"/>
      <c r="I14" s="635"/>
      <c r="J14" s="635"/>
      <c r="K14" s="635"/>
      <c r="L14" s="635"/>
      <c r="M14" s="635"/>
      <c r="N14" s="640">
        <v>133178</v>
      </c>
      <c r="O14" s="615" t="s">
        <v>90</v>
      </c>
    </row>
    <row r="15" spans="1:15" ht="75.75" customHeight="1">
      <c r="A15" s="637" t="s">
        <v>24</v>
      </c>
      <c r="B15" s="641">
        <v>0</v>
      </c>
      <c r="C15" s="641">
        <v>0</v>
      </c>
      <c r="D15" s="635"/>
      <c r="E15" s="635"/>
      <c r="F15" s="635"/>
      <c r="G15" s="635"/>
      <c r="H15" s="635"/>
      <c r="I15" s="635"/>
      <c r="J15" s="635"/>
      <c r="K15" s="635"/>
      <c r="L15" s="635"/>
      <c r="M15" s="635"/>
      <c r="N15" s="639">
        <v>78340</v>
      </c>
      <c r="O15" s="615" t="s">
        <v>91</v>
      </c>
    </row>
    <row r="16" spans="1:15" ht="75.75" customHeight="1">
      <c r="A16" s="637" t="s">
        <v>25</v>
      </c>
      <c r="B16" s="641">
        <v>0</v>
      </c>
      <c r="C16" s="641">
        <v>0</v>
      </c>
      <c r="D16" s="635"/>
      <c r="E16" s="635"/>
      <c r="F16" s="635"/>
      <c r="G16" s="635"/>
      <c r="H16" s="635"/>
      <c r="I16" s="635"/>
      <c r="J16" s="635"/>
      <c r="K16" s="635"/>
      <c r="L16" s="635"/>
      <c r="M16" s="635"/>
      <c r="N16" s="639">
        <v>78340</v>
      </c>
      <c r="O16" s="615" t="s">
        <v>91</v>
      </c>
    </row>
    <row r="17" spans="1:15" ht="75.75" customHeight="1">
      <c r="A17" s="637" t="s">
        <v>27</v>
      </c>
      <c r="B17" s="638">
        <v>0.04</v>
      </c>
      <c r="C17" s="638">
        <v>0.04</v>
      </c>
      <c r="D17" s="635"/>
      <c r="E17" s="635"/>
      <c r="F17" s="635"/>
      <c r="G17" s="635"/>
      <c r="H17" s="635"/>
      <c r="I17" s="635"/>
      <c r="J17" s="635"/>
      <c r="K17" s="635"/>
      <c r="L17" s="635"/>
      <c r="M17" s="635"/>
      <c r="N17" s="639">
        <v>1278202</v>
      </c>
      <c r="O17" s="615" t="s">
        <v>92</v>
      </c>
    </row>
    <row r="18" spans="1:15" ht="160.5" customHeight="1">
      <c r="A18" s="637" t="s">
        <v>26</v>
      </c>
      <c r="B18" s="638">
        <v>0.01</v>
      </c>
      <c r="C18" s="638">
        <v>0.01</v>
      </c>
      <c r="D18" s="635"/>
      <c r="E18" s="635"/>
      <c r="F18" s="635"/>
      <c r="G18" s="635"/>
      <c r="H18" s="635"/>
      <c r="I18" s="635"/>
      <c r="J18" s="635"/>
      <c r="K18" s="635"/>
      <c r="L18" s="635"/>
      <c r="M18" s="635"/>
      <c r="N18" s="639">
        <v>119606</v>
      </c>
      <c r="O18" s="615" t="s">
        <v>93</v>
      </c>
    </row>
    <row r="19" spans="1:15" ht="51">
      <c r="A19" s="637" t="s">
        <v>59</v>
      </c>
      <c r="B19" s="638">
        <v>0</v>
      </c>
      <c r="C19" s="638">
        <v>0</v>
      </c>
      <c r="D19" s="635"/>
      <c r="E19" s="635"/>
      <c r="F19" s="635"/>
      <c r="G19" s="635"/>
      <c r="H19" s="635"/>
      <c r="I19" s="635"/>
      <c r="J19" s="635"/>
      <c r="K19" s="635"/>
      <c r="L19" s="635"/>
      <c r="M19" s="635"/>
      <c r="N19" s="639">
        <v>2795</v>
      </c>
      <c r="O19" s="615" t="s">
        <v>94</v>
      </c>
    </row>
    <row r="20" spans="1:15" ht="15">
      <c r="A20" s="282" t="s">
        <v>68</v>
      </c>
      <c r="B20" s="449"/>
      <c r="C20" s="449"/>
      <c r="D20" s="449"/>
      <c r="E20" s="449"/>
      <c r="F20" s="450"/>
      <c r="G20" s="449"/>
      <c r="H20" s="450"/>
      <c r="I20" s="449"/>
      <c r="J20" s="449"/>
      <c r="K20" s="449"/>
      <c r="L20" s="449"/>
      <c r="M20" s="449"/>
      <c r="N20" s="447"/>
      <c r="O20" s="449"/>
    </row>
    <row r="21" spans="1:15" ht="16.5">
      <c r="A21" s="708" t="s">
        <v>302</v>
      </c>
      <c r="B21" s="709"/>
      <c r="C21" s="709"/>
      <c r="D21" s="709"/>
      <c r="E21" s="709"/>
      <c r="F21" s="709"/>
      <c r="G21" s="709"/>
      <c r="H21" s="709"/>
      <c r="I21" s="709"/>
      <c r="J21" s="709"/>
      <c r="K21" s="709"/>
      <c r="L21" s="709"/>
      <c r="M21" s="709"/>
      <c r="N21" s="709"/>
      <c r="O21" s="709"/>
    </row>
    <row r="22" spans="1:15" ht="14.25">
      <c r="A22" s="708" t="s">
        <v>95</v>
      </c>
      <c r="B22" s="709"/>
      <c r="C22" s="709"/>
      <c r="D22" s="709"/>
      <c r="E22" s="709"/>
      <c r="F22" s="709"/>
      <c r="G22" s="709"/>
      <c r="H22" s="709"/>
      <c r="I22" s="709"/>
      <c r="J22" s="709"/>
      <c r="K22" s="709"/>
      <c r="L22" s="709"/>
      <c r="M22" s="709"/>
      <c r="N22" s="709"/>
      <c r="O22" s="617"/>
    </row>
    <row r="23" spans="1:15" ht="14.25">
      <c r="A23" s="708" t="s">
        <v>306</v>
      </c>
      <c r="B23" s="709"/>
      <c r="C23" s="709"/>
      <c r="D23" s="709"/>
      <c r="E23" s="709"/>
      <c r="F23" s="709"/>
      <c r="G23" s="709"/>
      <c r="H23" s="709"/>
      <c r="I23" s="709"/>
      <c r="J23" s="709"/>
      <c r="K23" s="709"/>
      <c r="L23" s="709"/>
      <c r="M23" s="709"/>
      <c r="N23" s="709"/>
      <c r="O23" s="709"/>
    </row>
    <row r="24" spans="1:15" ht="14.25">
      <c r="A24" s="632" t="s">
        <v>96</v>
      </c>
      <c r="B24" s="617"/>
      <c r="C24" s="617"/>
      <c r="D24" s="617"/>
      <c r="E24" s="617"/>
      <c r="F24" s="617"/>
      <c r="N24"/>
    </row>
    <row r="25" spans="1:15" ht="14.25">
      <c r="A25" s="633" t="s">
        <v>97</v>
      </c>
      <c r="B25" s="617"/>
      <c r="C25" s="617"/>
      <c r="D25" s="617"/>
      <c r="E25" s="617"/>
      <c r="F25" s="617"/>
      <c r="G25" s="617"/>
      <c r="H25" s="617"/>
      <c r="I25" s="617"/>
      <c r="J25" s="617"/>
      <c r="K25" s="617"/>
      <c r="L25" s="617"/>
      <c r="M25" s="617"/>
      <c r="N25" s="617"/>
      <c r="O25" s="617"/>
    </row>
    <row r="26" spans="1:15" s="164" customFormat="1" ht="14.25">
      <c r="A26" s="710" t="s">
        <v>98</v>
      </c>
      <c r="B26" s="711"/>
      <c r="C26" s="711"/>
      <c r="D26" s="711"/>
      <c r="E26" s="711"/>
      <c r="F26" s="711"/>
      <c r="G26" s="711"/>
      <c r="H26" s="711"/>
      <c r="I26" s="711"/>
      <c r="J26" s="711"/>
      <c r="K26" s="711"/>
      <c r="L26" s="711"/>
      <c r="M26" s="711"/>
      <c r="N26" s="711"/>
      <c r="O26" s="642" t="s">
        <v>99</v>
      </c>
    </row>
    <row r="27" spans="1:15" ht="14.25">
      <c r="A27" s="668"/>
      <c r="B27" s="650"/>
      <c r="C27" s="650"/>
      <c r="D27" s="650"/>
      <c r="E27" s="650"/>
      <c r="F27" s="650"/>
      <c r="G27" s="650"/>
      <c r="H27" s="650"/>
      <c r="I27" s="650"/>
      <c r="J27" s="650"/>
      <c r="K27" s="650"/>
      <c r="L27" s="650"/>
      <c r="M27" s="650"/>
      <c r="N27" s="650"/>
      <c r="O27" s="650"/>
    </row>
    <row r="28" spans="1:15" ht="15">
      <c r="A28" s="262" t="s">
        <v>72</v>
      </c>
      <c r="N28" s="447"/>
    </row>
  </sheetData>
  <mergeCells count="5">
    <mergeCell ref="A7:N7"/>
    <mergeCell ref="A22:N22"/>
    <mergeCell ref="A23:O23"/>
    <mergeCell ref="A26:N26"/>
    <mergeCell ref="A21:O21"/>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topLeftCell="A16" zoomScaleNormal="100" zoomScaleSheetLayoutView="100" workbookViewId="0">
      <selection activeCell="A32" sqref="A32"/>
    </sheetView>
  </sheetViews>
  <sheetFormatPr defaultColWidth="9.140625" defaultRowHeight="40.15" customHeight="1"/>
  <cols>
    <col min="1" max="1" width="35" customWidth="1"/>
    <col min="2" max="3" width="10.7109375" customWidth="1"/>
    <col min="4" max="4" width="10.85546875" customWidth="1"/>
    <col min="5" max="9" width="10.7109375" customWidth="1"/>
    <col min="10" max="10" width="11.42578125" customWidth="1"/>
    <col min="11" max="13" width="10.7109375" customWidth="1"/>
    <col min="14" max="14" width="14.140625" style="218" bestFit="1" customWidth="1"/>
    <col min="15" max="15" width="149.5703125" customWidth="1"/>
  </cols>
  <sheetData>
    <row r="1" spans="1:15" ht="12.75">
      <c r="N1" s="451"/>
    </row>
    <row r="2" spans="1:15" ht="12.75">
      <c r="H2" s="162" t="s">
        <v>39</v>
      </c>
      <c r="N2" s="451"/>
    </row>
    <row r="3" spans="1:15" ht="12.75">
      <c r="H3" s="215" t="str">
        <f>'Program MW '!H3</f>
        <v>January 2020</v>
      </c>
      <c r="N3" s="451"/>
    </row>
    <row r="4" spans="1:15" ht="12.75">
      <c r="F4" s="164"/>
      <c r="G4" s="164"/>
      <c r="I4" s="164"/>
      <c r="N4" s="451"/>
      <c r="O4" s="52"/>
    </row>
    <row r="5" spans="1:15" ht="12.75">
      <c r="B5" s="164"/>
      <c r="C5" s="164"/>
      <c r="D5" s="164"/>
      <c r="F5" s="162"/>
      <c r="N5" s="451"/>
    </row>
    <row r="6" spans="1:15" ht="12.75">
      <c r="F6" s="162"/>
      <c r="N6" s="451"/>
    </row>
    <row r="7" spans="1:15" ht="22.5" customHeight="1">
      <c r="A7" s="712" t="s">
        <v>100</v>
      </c>
      <c r="B7" s="713"/>
      <c r="C7" s="713"/>
      <c r="D7" s="713"/>
      <c r="E7" s="713"/>
      <c r="F7" s="713"/>
      <c r="G7" s="713"/>
      <c r="H7" s="713"/>
      <c r="I7" s="713"/>
      <c r="J7" s="713"/>
      <c r="K7" s="713"/>
      <c r="L7" s="713"/>
      <c r="M7" s="713"/>
      <c r="N7" s="714"/>
      <c r="O7" s="50"/>
    </row>
    <row r="8" spans="1:15" ht="40.15" customHeight="1">
      <c r="A8" s="51" t="s">
        <v>1</v>
      </c>
      <c r="B8" s="539" t="s">
        <v>42</v>
      </c>
      <c r="C8" s="539" t="s">
        <v>43</v>
      </c>
      <c r="D8" s="628" t="s">
        <v>74</v>
      </c>
      <c r="E8" s="628" t="s">
        <v>75</v>
      </c>
      <c r="F8" s="628" t="s">
        <v>76</v>
      </c>
      <c r="G8" s="628" t="s">
        <v>77</v>
      </c>
      <c r="H8" s="628" t="s">
        <v>78</v>
      </c>
      <c r="I8" s="628" t="s">
        <v>79</v>
      </c>
      <c r="J8" s="628" t="s">
        <v>80</v>
      </c>
      <c r="K8" s="628" t="s">
        <v>303</v>
      </c>
      <c r="L8" s="628" t="s">
        <v>81</v>
      </c>
      <c r="M8" s="628" t="s">
        <v>82</v>
      </c>
      <c r="N8" s="627" t="str">
        <f>'Ex ante LI &amp; Eligibility Stats'!N8:N8</f>
        <v>Eligible Accounts as of January</v>
      </c>
      <c r="O8" s="318" t="s">
        <v>84</v>
      </c>
    </row>
    <row r="9" spans="1:15" ht="75.75" customHeight="1">
      <c r="A9" s="634" t="s">
        <v>8</v>
      </c>
      <c r="B9" s="635">
        <v>378.93</v>
      </c>
      <c r="C9" s="635">
        <v>378.93</v>
      </c>
      <c r="D9" s="635"/>
      <c r="E9" s="635"/>
      <c r="F9" s="635"/>
      <c r="G9" s="635"/>
      <c r="H9" s="635"/>
      <c r="I9" s="635"/>
      <c r="J9" s="635"/>
      <c r="K9" s="635"/>
      <c r="L9" s="635"/>
      <c r="M9" s="635"/>
      <c r="N9" s="643">
        <v>5432</v>
      </c>
      <c r="O9" s="319"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row>
    <row r="10" spans="1:15" ht="75.75" customHeight="1">
      <c r="A10" s="637" t="s">
        <v>11</v>
      </c>
      <c r="B10" s="638">
        <v>0.73</v>
      </c>
      <c r="C10" s="638">
        <v>0.73</v>
      </c>
      <c r="D10" s="635"/>
      <c r="E10" s="635"/>
      <c r="F10" s="635"/>
      <c r="G10" s="635"/>
      <c r="H10" s="635"/>
      <c r="I10" s="635"/>
      <c r="J10" s="635"/>
      <c r="K10" s="635"/>
      <c r="L10" s="635"/>
      <c r="M10" s="635"/>
      <c r="N10" s="640">
        <v>25707</v>
      </c>
      <c r="O10" s="319"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5" ht="75.75" customHeight="1">
      <c r="A11" s="637" t="s">
        <v>17</v>
      </c>
      <c r="B11" s="638">
        <v>0.16</v>
      </c>
      <c r="C11" s="638">
        <v>0.16</v>
      </c>
      <c r="D11" s="635"/>
      <c r="E11" s="635"/>
      <c r="F11" s="635"/>
      <c r="G11" s="635"/>
      <c r="H11" s="635"/>
      <c r="I11" s="635"/>
      <c r="J11" s="635"/>
      <c r="K11" s="635"/>
      <c r="L11" s="635"/>
      <c r="M11" s="635"/>
      <c r="N11" s="640">
        <v>718570</v>
      </c>
      <c r="O11" s="319"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5" ht="75.75" customHeight="1">
      <c r="A12" s="637" t="s">
        <v>20</v>
      </c>
      <c r="B12" s="638">
        <v>0.47</v>
      </c>
      <c r="C12" s="638">
        <v>0.47</v>
      </c>
      <c r="D12" s="635"/>
      <c r="E12" s="635"/>
      <c r="F12" s="635"/>
      <c r="G12" s="635"/>
      <c r="H12" s="635"/>
      <c r="I12" s="635"/>
      <c r="J12" s="635"/>
      <c r="K12" s="635"/>
      <c r="L12" s="635"/>
      <c r="M12" s="635"/>
      <c r="N12" s="640">
        <v>133178</v>
      </c>
      <c r="O12" s="319"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5" ht="75.75" customHeight="1">
      <c r="A13" s="637" t="s">
        <v>21</v>
      </c>
      <c r="B13" s="638">
        <v>0.25</v>
      </c>
      <c r="C13" s="638">
        <v>0.25</v>
      </c>
      <c r="D13" s="635"/>
      <c r="E13" s="635"/>
      <c r="F13" s="635"/>
      <c r="G13" s="635"/>
      <c r="H13" s="635"/>
      <c r="I13" s="635"/>
      <c r="J13" s="635"/>
      <c r="K13" s="635"/>
      <c r="L13" s="635"/>
      <c r="M13" s="635"/>
      <c r="N13" s="640">
        <v>718570</v>
      </c>
      <c r="O13" s="319"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5" ht="75.75" customHeight="1">
      <c r="A14" s="637" t="s">
        <v>23</v>
      </c>
      <c r="B14" s="638">
        <v>0.12</v>
      </c>
      <c r="C14" s="638">
        <v>0.12</v>
      </c>
      <c r="D14" s="635"/>
      <c r="E14" s="635"/>
      <c r="F14" s="635"/>
      <c r="G14" s="635"/>
      <c r="H14" s="635"/>
      <c r="I14" s="635"/>
      <c r="J14" s="635"/>
      <c r="K14" s="635"/>
      <c r="L14" s="635"/>
      <c r="M14" s="635"/>
      <c r="N14" s="640">
        <v>133178</v>
      </c>
      <c r="O14" s="319"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5" ht="75.75" customHeight="1">
      <c r="A15" s="637" t="s">
        <v>24</v>
      </c>
      <c r="B15" s="638">
        <v>6.95</v>
      </c>
      <c r="C15" s="638">
        <v>6.95</v>
      </c>
      <c r="D15" s="635"/>
      <c r="E15" s="635"/>
      <c r="F15" s="635"/>
      <c r="G15" s="635"/>
      <c r="H15" s="635"/>
      <c r="I15" s="635"/>
      <c r="J15" s="635"/>
      <c r="K15" s="635"/>
      <c r="L15" s="635"/>
      <c r="M15" s="635"/>
      <c r="N15" s="640">
        <v>78340</v>
      </c>
      <c r="O15" s="319"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5" ht="75.75" customHeight="1">
      <c r="A16" s="637" t="s">
        <v>25</v>
      </c>
      <c r="B16" s="644">
        <v>18.59</v>
      </c>
      <c r="C16" s="644">
        <v>18.59</v>
      </c>
      <c r="D16" s="635"/>
      <c r="E16" s="635"/>
      <c r="F16" s="635"/>
      <c r="G16" s="635"/>
      <c r="H16" s="635"/>
      <c r="I16" s="635"/>
      <c r="J16" s="635"/>
      <c r="K16" s="635"/>
      <c r="L16" s="635"/>
      <c r="M16" s="635"/>
      <c r="N16" s="640">
        <v>78340</v>
      </c>
      <c r="O16" s="319"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637" t="s">
        <v>27</v>
      </c>
      <c r="B17" s="635">
        <v>0.22</v>
      </c>
      <c r="C17" s="635">
        <v>0.22</v>
      </c>
      <c r="D17" s="635"/>
      <c r="E17" s="635"/>
      <c r="F17" s="635"/>
      <c r="G17" s="635"/>
      <c r="H17" s="635"/>
      <c r="I17" s="635"/>
      <c r="J17" s="635"/>
      <c r="K17" s="635"/>
      <c r="L17" s="635"/>
      <c r="M17" s="635"/>
      <c r="N17" s="640">
        <v>1278202</v>
      </c>
      <c r="O17" s="319"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637" t="s">
        <v>26</v>
      </c>
      <c r="B18" s="638">
        <v>0.03</v>
      </c>
      <c r="C18" s="638">
        <v>0.03</v>
      </c>
      <c r="D18" s="635"/>
      <c r="E18" s="635"/>
      <c r="F18" s="635"/>
      <c r="G18" s="635"/>
      <c r="H18" s="635"/>
      <c r="I18" s="645"/>
      <c r="J18" s="635"/>
      <c r="K18" s="645"/>
      <c r="L18" s="645"/>
      <c r="M18" s="645"/>
      <c r="N18" s="640">
        <v>119606</v>
      </c>
      <c r="O18" s="616"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637" t="s">
        <v>59</v>
      </c>
      <c r="B19" s="638">
        <v>1.73</v>
      </c>
      <c r="C19" s="638">
        <v>1.73</v>
      </c>
      <c r="D19" s="645"/>
      <c r="E19" s="645"/>
      <c r="F19" s="645"/>
      <c r="G19" s="645"/>
      <c r="H19" s="645"/>
      <c r="I19" s="645"/>
      <c r="J19" s="645"/>
      <c r="K19" s="645"/>
      <c r="L19" s="645"/>
      <c r="M19" s="645"/>
      <c r="N19" s="646">
        <v>2795</v>
      </c>
      <c r="O19" s="615"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12.75">
      <c r="A20" s="647"/>
      <c r="B20" s="648"/>
      <c r="C20" s="648"/>
      <c r="D20" s="647"/>
      <c r="E20" s="647"/>
      <c r="F20" s="647"/>
      <c r="G20" s="647"/>
      <c r="H20" s="647"/>
      <c r="I20" s="647"/>
      <c r="J20" s="647"/>
      <c r="K20" s="647"/>
      <c r="L20" s="647"/>
      <c r="M20" s="647"/>
      <c r="N20" s="649"/>
      <c r="O20" s="624"/>
    </row>
    <row r="21" spans="1:26" ht="15">
      <c r="A21" s="715" t="s">
        <v>101</v>
      </c>
      <c r="B21" s="715"/>
      <c r="C21" s="715"/>
      <c r="D21" s="715"/>
      <c r="E21" s="715"/>
      <c r="F21" s="715"/>
      <c r="G21" s="715"/>
      <c r="H21" s="715"/>
      <c r="I21" s="715"/>
      <c r="J21" s="715"/>
      <c r="K21" s="715"/>
      <c r="L21" s="715"/>
      <c r="M21" s="715"/>
      <c r="N21" s="715"/>
      <c r="O21" s="715"/>
    </row>
    <row r="22" spans="1:26" s="10" customFormat="1" ht="16.5">
      <c r="A22" s="708" t="s">
        <v>102</v>
      </c>
      <c r="B22" s="709"/>
      <c r="C22" s="709"/>
      <c r="D22" s="709"/>
      <c r="E22" s="709"/>
      <c r="F22" s="709"/>
      <c r="G22" s="709"/>
      <c r="H22" s="709"/>
      <c r="I22" s="709"/>
      <c r="J22" s="709"/>
      <c r="K22" s="709"/>
      <c r="L22" s="709"/>
      <c r="M22" s="709"/>
      <c r="N22" s="709"/>
      <c r="O22" s="709"/>
      <c r="P22" s="13"/>
      <c r="Q22" s="13"/>
      <c r="R22" s="13"/>
      <c r="S22" s="13"/>
      <c r="T22" s="160"/>
      <c r="U22" s="160"/>
      <c r="V22" s="160"/>
      <c r="W22" s="160"/>
      <c r="X22" s="160"/>
      <c r="Y22" s="160"/>
      <c r="Z22" s="160"/>
    </row>
    <row r="23" spans="1:26" ht="12.75" customHeight="1">
      <c r="A23" s="708" t="s">
        <v>103</v>
      </c>
      <c r="B23" s="709"/>
      <c r="C23" s="709"/>
      <c r="D23" s="709"/>
      <c r="E23" s="709"/>
      <c r="F23" s="709"/>
      <c r="G23" s="709"/>
      <c r="H23" s="709"/>
      <c r="I23" s="709"/>
      <c r="J23" s="709"/>
      <c r="K23" s="709"/>
      <c r="L23" s="709"/>
      <c r="M23" s="709"/>
      <c r="N23" s="709"/>
      <c r="O23" s="709"/>
    </row>
    <row r="24" spans="1:26" ht="12.6" customHeight="1">
      <c r="A24" s="681" t="s">
        <v>307</v>
      </c>
      <c r="B24" s="669"/>
      <c r="C24" s="669"/>
      <c r="D24" s="669"/>
      <c r="E24" s="669"/>
      <c r="F24" s="669"/>
      <c r="G24" s="669"/>
      <c r="H24" s="669"/>
      <c r="I24" s="669"/>
      <c r="J24" s="669"/>
      <c r="K24" s="669"/>
      <c r="L24" s="617"/>
      <c r="M24" s="617"/>
      <c r="N24" s="617"/>
      <c r="O24" s="617"/>
    </row>
    <row r="25" spans="1:26" s="10" customFormat="1" ht="14.25">
      <c r="A25" s="710" t="s">
        <v>98</v>
      </c>
      <c r="B25" s="711"/>
      <c r="C25" s="711"/>
      <c r="D25" s="711"/>
      <c r="E25" s="711"/>
      <c r="F25" s="711"/>
      <c r="G25" s="711"/>
      <c r="H25" s="711"/>
      <c r="I25" s="711"/>
      <c r="J25" s="711"/>
      <c r="K25" s="711"/>
      <c r="L25" s="711"/>
      <c r="M25" s="711"/>
      <c r="N25" s="711"/>
      <c r="O25" s="617"/>
      <c r="P25" s="13"/>
      <c r="Q25" s="13"/>
      <c r="R25" s="13"/>
      <c r="S25" s="13"/>
      <c r="T25" s="160"/>
      <c r="U25" s="160"/>
      <c r="V25" s="160"/>
      <c r="W25" s="160"/>
      <c r="X25" s="160"/>
      <c r="Y25" s="160"/>
      <c r="Z25" s="160"/>
    </row>
    <row r="26" spans="1:26" s="10" customFormat="1" ht="14.25">
      <c r="A26" s="708"/>
      <c r="B26" s="709"/>
      <c r="C26" s="709"/>
      <c r="D26" s="709"/>
      <c r="E26" s="709"/>
      <c r="F26" s="709"/>
      <c r="G26" s="709"/>
      <c r="H26" s="709"/>
      <c r="I26" s="709"/>
      <c r="J26" s="709"/>
      <c r="K26" s="709"/>
      <c r="L26" s="709"/>
      <c r="M26" s="709"/>
      <c r="N26" s="709"/>
      <c r="O26" s="709"/>
      <c r="P26" s="13"/>
      <c r="Q26" s="13"/>
      <c r="R26" s="13"/>
      <c r="S26" s="13"/>
      <c r="T26" s="160"/>
      <c r="U26" s="160"/>
      <c r="V26" s="160"/>
      <c r="W26" s="160"/>
      <c r="X26" s="160"/>
      <c r="Y26" s="160"/>
      <c r="Z26" s="160"/>
    </row>
    <row r="27" spans="1:26" ht="15">
      <c r="A27" s="283" t="s">
        <v>72</v>
      </c>
      <c r="N27" s="451"/>
    </row>
    <row r="54" spans="1:1" ht="40.15" customHeight="1">
      <c r="A54" s="222"/>
    </row>
  </sheetData>
  <mergeCells count="6">
    <mergeCell ref="A26:O26"/>
    <mergeCell ref="A7:N7"/>
    <mergeCell ref="A25:N25"/>
    <mergeCell ref="A21:O21"/>
    <mergeCell ref="A23:O23"/>
    <mergeCell ref="A22:O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140625" defaultRowHeight="12.75"/>
  <cols>
    <col min="1" max="1" width="45.7109375" style="55" customWidth="1"/>
    <col min="2" max="3" width="10.85546875" style="55" customWidth="1"/>
    <col min="4" max="4" width="10.7109375" style="55" customWidth="1"/>
    <col min="5" max="5" width="12.7109375" style="55" customWidth="1"/>
    <col min="6" max="8" width="10.5703125" style="55" customWidth="1"/>
    <col min="9" max="9" width="12.7109375" style="55" customWidth="1"/>
    <col min="10" max="12" width="10.7109375" style="55" customWidth="1"/>
    <col min="13" max="13" width="12.7109375" style="55" customWidth="1"/>
    <col min="14" max="16" width="10.7109375" style="55" customWidth="1"/>
    <col min="17" max="17" width="12.7109375" style="55" customWidth="1"/>
    <col min="18" max="20" width="10.7109375" style="55" customWidth="1"/>
    <col min="21" max="21" width="12.7109375" style="55" customWidth="1"/>
    <col min="22" max="24" width="10.7109375" style="55" customWidth="1"/>
    <col min="25" max="25" width="12.7109375" style="55" customWidth="1"/>
    <col min="26" max="16384" width="9.140625" style="55"/>
  </cols>
  <sheetData>
    <row r="1" spans="1:25">
      <c r="A1" s="54" t="s">
        <v>104</v>
      </c>
    </row>
    <row r="3" spans="1:25" ht="21.75" customHeight="1">
      <c r="A3" s="106">
        <v>2016</v>
      </c>
      <c r="B3" s="716" t="s">
        <v>42</v>
      </c>
      <c r="C3" s="716"/>
      <c r="D3" s="716"/>
      <c r="E3" s="716"/>
      <c r="F3" s="717" t="s">
        <v>43</v>
      </c>
      <c r="G3" s="717"/>
      <c r="H3" s="717"/>
      <c r="I3" s="717"/>
      <c r="J3" s="717" t="s">
        <v>44</v>
      </c>
      <c r="K3" s="717"/>
      <c r="L3" s="717"/>
      <c r="M3" s="717"/>
      <c r="N3" s="717" t="s">
        <v>45</v>
      </c>
      <c r="O3" s="717"/>
      <c r="P3" s="717"/>
      <c r="Q3" s="717"/>
      <c r="R3" s="717" t="s">
        <v>31</v>
      </c>
      <c r="S3" s="717"/>
      <c r="T3" s="717"/>
      <c r="U3" s="717"/>
      <c r="V3" s="717" t="s">
        <v>46</v>
      </c>
      <c r="W3" s="717"/>
      <c r="X3" s="717"/>
      <c r="Y3" s="717"/>
    </row>
    <row r="4" spans="1:25" ht="79.5" customHeight="1">
      <c r="A4" s="651" t="s">
        <v>105</v>
      </c>
      <c r="B4" s="65" t="s">
        <v>106</v>
      </c>
      <c r="C4" s="65" t="s">
        <v>107</v>
      </c>
      <c r="D4" s="65" t="s">
        <v>108</v>
      </c>
      <c r="E4" s="65" t="s">
        <v>109</v>
      </c>
      <c r="F4" s="65" t="s">
        <v>106</v>
      </c>
      <c r="G4" s="65" t="s">
        <v>107</v>
      </c>
      <c r="H4" s="65" t="s">
        <v>108</v>
      </c>
      <c r="I4" s="65" t="s">
        <v>109</v>
      </c>
      <c r="J4" s="65" t="s">
        <v>106</v>
      </c>
      <c r="K4" s="65" t="s">
        <v>107</v>
      </c>
      <c r="L4" s="65" t="s">
        <v>108</v>
      </c>
      <c r="M4" s="65" t="s">
        <v>109</v>
      </c>
      <c r="N4" s="65" t="s">
        <v>106</v>
      </c>
      <c r="O4" s="65" t="s">
        <v>107</v>
      </c>
      <c r="P4" s="65" t="s">
        <v>108</v>
      </c>
      <c r="Q4" s="65" t="s">
        <v>109</v>
      </c>
      <c r="R4" s="65" t="s">
        <v>106</v>
      </c>
      <c r="S4" s="65" t="s">
        <v>107</v>
      </c>
      <c r="T4" s="65" t="s">
        <v>108</v>
      </c>
      <c r="U4" s="65" t="s">
        <v>109</v>
      </c>
      <c r="V4" s="65" t="s">
        <v>106</v>
      </c>
      <c r="W4" s="65" t="s">
        <v>107</v>
      </c>
      <c r="X4" s="65" t="s">
        <v>108</v>
      </c>
      <c r="Y4" s="65" t="s">
        <v>109</v>
      </c>
    </row>
    <row r="5" spans="1:25">
      <c r="A5" s="107" t="s">
        <v>110</v>
      </c>
      <c r="B5" s="67"/>
      <c r="C5" s="68">
        <v>5.8977000000000004</v>
      </c>
      <c r="D5" s="69">
        <v>2.3029999999999999</v>
      </c>
      <c r="E5" s="70">
        <f>SUM(B5:D5)</f>
        <v>8.2007000000000012</v>
      </c>
      <c r="F5" s="66"/>
      <c r="G5" s="69">
        <v>5.8977000000000004</v>
      </c>
      <c r="H5" s="69">
        <v>2.3029999999999999</v>
      </c>
      <c r="I5" s="71">
        <f>SUM(G5:H5)</f>
        <v>8.2007000000000012</v>
      </c>
      <c r="J5" s="66"/>
      <c r="K5" s="69"/>
      <c r="L5" s="69"/>
      <c r="M5" s="71">
        <f>SUM(K5:L5)</f>
        <v>0</v>
      </c>
      <c r="N5" s="66"/>
      <c r="O5" s="69"/>
      <c r="P5" s="69"/>
      <c r="Q5" s="71">
        <f>SUM(O5:P5)</f>
        <v>0</v>
      </c>
      <c r="R5" s="66"/>
      <c r="S5" s="69"/>
      <c r="T5" s="69"/>
      <c r="U5" s="71">
        <f>SUM(S5:T5)</f>
        <v>0</v>
      </c>
      <c r="V5" s="66"/>
      <c r="W5" s="69"/>
      <c r="X5" s="69"/>
      <c r="Y5" s="71">
        <f>SUM(W5:X5)</f>
        <v>0</v>
      </c>
    </row>
    <row r="6" spans="1:25">
      <c r="A6" s="107" t="s">
        <v>111</v>
      </c>
      <c r="B6" s="115"/>
      <c r="C6" s="116">
        <v>12.8962</v>
      </c>
      <c r="D6" s="68">
        <v>1.4750000000000001</v>
      </c>
      <c r="E6" s="70">
        <f>SUM(B6:D6)</f>
        <v>14.3712</v>
      </c>
      <c r="F6" s="66"/>
      <c r="G6" s="69">
        <v>12.911899999999999</v>
      </c>
      <c r="H6" s="72">
        <v>1.4750000000000001</v>
      </c>
      <c r="I6" s="71">
        <f>SUM(G6:H6)</f>
        <v>14.386899999999999</v>
      </c>
      <c r="J6" s="73"/>
      <c r="K6" s="69"/>
      <c r="L6" s="72"/>
      <c r="M6" s="71">
        <f>SUM(K6:L6)</f>
        <v>0</v>
      </c>
      <c r="N6" s="73"/>
      <c r="O6" s="69"/>
      <c r="P6" s="72"/>
      <c r="Q6" s="71">
        <f>SUM(O6:P6)</f>
        <v>0</v>
      </c>
      <c r="R6" s="73"/>
      <c r="S6" s="69"/>
      <c r="T6" s="72"/>
      <c r="U6" s="71">
        <f>SUM(S6:T6)</f>
        <v>0</v>
      </c>
      <c r="V6" s="73"/>
      <c r="W6" s="69"/>
      <c r="X6" s="72"/>
      <c r="Y6" s="71">
        <f>SUM(W6:X6)</f>
        <v>0</v>
      </c>
    </row>
    <row r="7" spans="1:25" s="54" customFormat="1">
      <c r="A7" s="108" t="s">
        <v>112</v>
      </c>
      <c r="B7" s="117"/>
      <c r="C7" s="118">
        <f>SUM(C5:C6)</f>
        <v>18.793900000000001</v>
      </c>
      <c r="D7" s="118">
        <f>SUM(D5:D6)</f>
        <v>3.778</v>
      </c>
      <c r="E7" s="118">
        <f>SUM(E5:E6)</f>
        <v>22.571899999999999</v>
      </c>
      <c r="F7" s="74"/>
      <c r="G7" s="71">
        <f t="shared" ref="G7:Y7" si="0">SUM(G5:G6)</f>
        <v>18.8096</v>
      </c>
      <c r="H7" s="71">
        <f t="shared" si="0"/>
        <v>3.778</v>
      </c>
      <c r="I7" s="71">
        <f t="shared" si="0"/>
        <v>22.587600000000002</v>
      </c>
      <c r="J7" s="71"/>
      <c r="K7" s="71">
        <f t="shared" si="0"/>
        <v>0</v>
      </c>
      <c r="L7" s="71">
        <f t="shared" si="0"/>
        <v>0</v>
      </c>
      <c r="M7" s="71">
        <f t="shared" si="0"/>
        <v>0</v>
      </c>
      <c r="N7" s="71"/>
      <c r="O7" s="71">
        <f t="shared" si="0"/>
        <v>0</v>
      </c>
      <c r="P7" s="71">
        <f t="shared" si="0"/>
        <v>0</v>
      </c>
      <c r="Q7" s="71">
        <f t="shared" si="0"/>
        <v>0</v>
      </c>
      <c r="R7" s="71"/>
      <c r="S7" s="71">
        <f t="shared" si="0"/>
        <v>0</v>
      </c>
      <c r="T7" s="71">
        <f t="shared" si="0"/>
        <v>0</v>
      </c>
      <c r="U7" s="71">
        <f t="shared" si="0"/>
        <v>0</v>
      </c>
      <c r="V7" s="71"/>
      <c r="W7" s="71">
        <f t="shared" si="0"/>
        <v>0</v>
      </c>
      <c r="X7" s="71">
        <f t="shared" si="0"/>
        <v>0</v>
      </c>
      <c r="Y7" s="71">
        <f t="shared" si="0"/>
        <v>0</v>
      </c>
    </row>
    <row r="8" spans="1:25" ht="4.1500000000000004" customHeight="1">
      <c r="A8" s="108"/>
      <c r="B8" s="74"/>
      <c r="C8" s="119"/>
      <c r="D8" s="119"/>
      <c r="E8" s="120"/>
      <c r="F8" s="74"/>
      <c r="G8" s="73"/>
      <c r="H8" s="73"/>
      <c r="I8" s="71"/>
      <c r="J8" s="75"/>
      <c r="K8" s="73"/>
      <c r="L8" s="73"/>
      <c r="M8" s="71"/>
      <c r="N8" s="75"/>
      <c r="O8" s="73"/>
      <c r="P8" s="73"/>
      <c r="Q8" s="71"/>
      <c r="R8" s="75"/>
      <c r="S8" s="73"/>
      <c r="T8" s="73"/>
      <c r="U8" s="71"/>
      <c r="V8" s="75"/>
      <c r="W8" s="73"/>
      <c r="X8" s="73"/>
      <c r="Y8" s="71"/>
    </row>
    <row r="9" spans="1:25">
      <c r="A9" s="109" t="s">
        <v>55</v>
      </c>
      <c r="B9" s="76"/>
      <c r="C9" s="65"/>
      <c r="D9" s="65"/>
      <c r="E9" s="652"/>
      <c r="F9" s="76"/>
      <c r="G9" s="77"/>
      <c r="H9" s="78"/>
      <c r="I9" s="78"/>
      <c r="J9" s="79"/>
      <c r="K9" s="77"/>
      <c r="L9" s="78"/>
      <c r="M9" s="71"/>
      <c r="N9" s="79"/>
      <c r="O9" s="77"/>
      <c r="P9" s="78"/>
      <c r="Q9" s="71"/>
      <c r="R9" s="79"/>
      <c r="S9" s="77"/>
      <c r="T9" s="78"/>
      <c r="U9" s="71"/>
      <c r="V9" s="79"/>
      <c r="W9" s="77"/>
      <c r="X9" s="78"/>
      <c r="Y9" s="71">
        <f>SUM(W9:X9)</f>
        <v>0</v>
      </c>
    </row>
    <row r="10" spans="1:25">
      <c r="A10" s="107" t="s">
        <v>113</v>
      </c>
      <c r="B10" s="115"/>
      <c r="C10" s="115"/>
      <c r="D10" s="68"/>
      <c r="E10" s="70"/>
      <c r="F10" s="66"/>
      <c r="G10" s="69"/>
      <c r="H10" s="68"/>
      <c r="I10" s="70"/>
      <c r="J10" s="73"/>
      <c r="K10" s="68" t="s">
        <v>56</v>
      </c>
      <c r="L10" s="68"/>
      <c r="M10" s="71"/>
      <c r="N10" s="73"/>
      <c r="O10" s="68" t="s">
        <v>56</v>
      </c>
      <c r="P10" s="68"/>
      <c r="Q10" s="71"/>
      <c r="R10" s="73"/>
      <c r="S10" s="68" t="s">
        <v>56</v>
      </c>
      <c r="T10" s="68"/>
      <c r="U10" s="71"/>
      <c r="V10" s="73"/>
      <c r="W10" s="68" t="s">
        <v>56</v>
      </c>
      <c r="X10" s="68"/>
      <c r="Y10" s="71">
        <f>SUM(W10:X10)</f>
        <v>0</v>
      </c>
    </row>
    <row r="11" spans="1:25">
      <c r="A11" s="107" t="s">
        <v>114</v>
      </c>
      <c r="B11" s="115"/>
      <c r="C11" s="115"/>
      <c r="D11" s="68"/>
      <c r="E11" s="70"/>
      <c r="F11" s="66"/>
      <c r="G11" s="69"/>
      <c r="H11" s="69"/>
      <c r="I11" s="73"/>
      <c r="J11" s="73"/>
      <c r="K11" s="69"/>
      <c r="L11" s="69"/>
      <c r="M11" s="71"/>
      <c r="N11" s="73"/>
      <c r="O11" s="69"/>
      <c r="P11" s="69"/>
      <c r="Q11" s="71"/>
      <c r="R11" s="73"/>
      <c r="S11" s="69"/>
      <c r="T11" s="69"/>
      <c r="U11" s="71"/>
      <c r="V11" s="73"/>
      <c r="W11" s="69"/>
      <c r="X11" s="69"/>
      <c r="Y11" s="71">
        <f>SUM(W11:X11)</f>
        <v>0</v>
      </c>
    </row>
    <row r="12" spans="1:25">
      <c r="A12" s="107"/>
      <c r="B12" s="67"/>
      <c r="C12" s="68"/>
      <c r="D12" s="68"/>
      <c r="E12" s="121"/>
      <c r="F12" s="66"/>
      <c r="G12" s="69"/>
      <c r="H12" s="69"/>
      <c r="I12" s="73"/>
      <c r="J12" s="73"/>
      <c r="K12" s="69"/>
      <c r="L12" s="69"/>
      <c r="M12" s="71" t="s">
        <v>56</v>
      </c>
      <c r="N12" s="73"/>
      <c r="O12" s="69"/>
      <c r="P12" s="69"/>
      <c r="Q12" s="71" t="s">
        <v>56</v>
      </c>
      <c r="R12" s="73"/>
      <c r="S12" s="69"/>
      <c r="T12" s="69"/>
      <c r="U12" s="71" t="s">
        <v>56</v>
      </c>
      <c r="V12" s="73"/>
      <c r="W12" s="69"/>
      <c r="X12" s="69"/>
      <c r="Y12" s="71" t="s">
        <v>56</v>
      </c>
    </row>
    <row r="13" spans="1:25" s="54" customFormat="1">
      <c r="A13" s="108" t="s">
        <v>112</v>
      </c>
      <c r="B13" s="117"/>
      <c r="C13" s="118">
        <v>0</v>
      </c>
      <c r="D13" s="118">
        <f>SUM(D10:D12)</f>
        <v>0</v>
      </c>
      <c r="E13" s="118">
        <f>SUM(E10:E12)</f>
        <v>0</v>
      </c>
      <c r="F13" s="74"/>
      <c r="G13" s="71">
        <f>SUM(G9:G12)</f>
        <v>0</v>
      </c>
      <c r="H13" s="71">
        <f>SUM(H9:H12)</f>
        <v>0</v>
      </c>
      <c r="I13" s="71">
        <f>SUM(I9:I12)</f>
        <v>0</v>
      </c>
      <c r="J13" s="75"/>
      <c r="K13" s="71">
        <f>SUM(K9:K12)</f>
        <v>0</v>
      </c>
      <c r="L13" s="71">
        <f>SUM(L9:L12)</f>
        <v>0</v>
      </c>
      <c r="M13" s="71">
        <f>SUM(M9:M12)</f>
        <v>0</v>
      </c>
      <c r="N13" s="75"/>
      <c r="O13" s="71">
        <f>SUM(O9:O12)</f>
        <v>0</v>
      </c>
      <c r="P13" s="71">
        <f>SUM(P9:P12)</f>
        <v>0</v>
      </c>
      <c r="Q13" s="71">
        <f>SUM(Q9:Q12)</f>
        <v>0</v>
      </c>
      <c r="R13" s="75"/>
      <c r="S13" s="71">
        <f>SUM(S9:S12)</f>
        <v>0</v>
      </c>
      <c r="T13" s="71">
        <f>SUM(T9:T12)</f>
        <v>0</v>
      </c>
      <c r="U13" s="71">
        <f>SUM(U9:U12)</f>
        <v>0</v>
      </c>
      <c r="V13" s="75"/>
      <c r="W13" s="71">
        <f>SUM(W9:W12)</f>
        <v>0</v>
      </c>
      <c r="X13" s="71">
        <f>SUM(X9:X12)</f>
        <v>0</v>
      </c>
      <c r="Y13" s="71">
        <f>SUM(Y9:Y12)</f>
        <v>0</v>
      </c>
    </row>
    <row r="14" spans="1:25" ht="4.1500000000000004" customHeight="1">
      <c r="A14" s="108"/>
      <c r="B14" s="74"/>
      <c r="C14" s="119"/>
      <c r="D14" s="119"/>
      <c r="E14" s="120"/>
      <c r="F14" s="74"/>
      <c r="G14" s="73"/>
      <c r="H14" s="73"/>
      <c r="I14" s="71"/>
      <c r="J14" s="75"/>
      <c r="K14" s="73"/>
      <c r="L14" s="73"/>
      <c r="M14" s="71">
        <f>SUM(M9:M12)</f>
        <v>0</v>
      </c>
      <c r="N14" s="75"/>
      <c r="O14" s="73"/>
      <c r="P14" s="73"/>
      <c r="Q14" s="71">
        <f>SUM(Q9:Q12)</f>
        <v>0</v>
      </c>
      <c r="R14" s="75"/>
      <c r="S14" s="73"/>
      <c r="T14" s="73"/>
      <c r="U14" s="71">
        <f>SUM(U9:U12)</f>
        <v>0</v>
      </c>
      <c r="V14" s="75"/>
      <c r="W14" s="73"/>
      <c r="X14" s="73"/>
      <c r="Y14" s="71"/>
    </row>
    <row r="15" spans="1:25" s="54" customFormat="1" ht="17.25" customHeight="1">
      <c r="A15" s="108" t="s">
        <v>109</v>
      </c>
      <c r="B15" s="74"/>
      <c r="C15" s="118">
        <f>C7+C13</f>
        <v>18.793900000000001</v>
      </c>
      <c r="D15" s="118">
        <f>D7+D13</f>
        <v>3.778</v>
      </c>
      <c r="E15" s="118">
        <f>E7+E13</f>
        <v>22.571899999999999</v>
      </c>
      <c r="F15" s="74"/>
      <c r="G15" s="71">
        <f>G7+G13</f>
        <v>18.8096</v>
      </c>
      <c r="H15" s="71">
        <f>H7+H13</f>
        <v>3.778</v>
      </c>
      <c r="I15" s="71">
        <f>I7+I13</f>
        <v>22.587600000000002</v>
      </c>
      <c r="J15" s="75"/>
      <c r="K15" s="71">
        <f>K7+K13</f>
        <v>0</v>
      </c>
      <c r="L15" s="71">
        <f>L7+L13</f>
        <v>0</v>
      </c>
      <c r="M15" s="71">
        <f>M7+M13</f>
        <v>0</v>
      </c>
      <c r="N15" s="75"/>
      <c r="O15" s="71">
        <f>O7+O13</f>
        <v>0</v>
      </c>
      <c r="P15" s="71">
        <f>P7+P13</f>
        <v>0</v>
      </c>
      <c r="Q15" s="71">
        <f>Q7+Q13</f>
        <v>0</v>
      </c>
      <c r="R15" s="75"/>
      <c r="S15" s="71">
        <f>S7+S13</f>
        <v>0</v>
      </c>
      <c r="T15" s="71">
        <f>T7+T13</f>
        <v>0</v>
      </c>
      <c r="U15" s="71">
        <f>U7+U13</f>
        <v>0</v>
      </c>
      <c r="V15" s="75"/>
      <c r="W15" s="71">
        <f>W7+W13</f>
        <v>0</v>
      </c>
      <c r="X15" s="71">
        <f>X7+X13</f>
        <v>0</v>
      </c>
      <c r="Y15" s="71">
        <f>Y7+Y13</f>
        <v>0</v>
      </c>
    </row>
    <row r="16" spans="1:25" ht="17.25" customHeight="1">
      <c r="A16" s="110"/>
      <c r="B16" s="92"/>
      <c r="C16" s="122"/>
      <c r="D16" s="122"/>
      <c r="E16" s="123"/>
      <c r="F16" s="92"/>
      <c r="G16" s="80"/>
      <c r="H16" s="80"/>
      <c r="I16" s="81"/>
      <c r="J16" s="81"/>
      <c r="K16" s="80"/>
      <c r="L16" s="80"/>
      <c r="M16" s="81"/>
      <c r="N16" s="81"/>
      <c r="O16" s="80"/>
      <c r="P16" s="80"/>
      <c r="Q16" s="81"/>
      <c r="R16" s="81"/>
      <c r="S16" s="80"/>
      <c r="T16" s="80"/>
      <c r="U16" s="81"/>
      <c r="V16" s="81"/>
      <c r="W16" s="80"/>
      <c r="X16" s="80"/>
      <c r="Y16" s="81"/>
    </row>
    <row r="17" spans="1:25">
      <c r="A17" s="651" t="s">
        <v>115</v>
      </c>
      <c r="B17" s="124"/>
      <c r="C17" s="125"/>
      <c r="D17" s="125"/>
      <c r="E17" s="126"/>
      <c r="F17" s="134"/>
      <c r="G17" s="82"/>
      <c r="H17" s="82"/>
      <c r="I17" s="83"/>
      <c r="J17" s="83"/>
      <c r="K17" s="82"/>
      <c r="L17" s="82"/>
      <c r="M17" s="83"/>
      <c r="N17" s="83"/>
      <c r="O17" s="82"/>
      <c r="P17" s="82"/>
      <c r="Q17" s="83"/>
      <c r="R17" s="83"/>
      <c r="S17" s="82"/>
      <c r="T17" s="82"/>
      <c r="U17" s="83"/>
      <c r="V17" s="83"/>
      <c r="W17" s="82"/>
      <c r="X17" s="82"/>
      <c r="Y17" s="84"/>
    </row>
    <row r="18" spans="1:25">
      <c r="A18" s="111" t="s">
        <v>116</v>
      </c>
      <c r="B18" s="67"/>
      <c r="C18" s="115"/>
      <c r="D18" s="115"/>
      <c r="E18" s="121"/>
      <c r="F18" s="67"/>
      <c r="G18" s="69"/>
      <c r="H18" s="69"/>
      <c r="I18" s="73"/>
      <c r="J18" s="67"/>
      <c r="K18" s="69"/>
      <c r="L18" s="69"/>
      <c r="M18" s="73"/>
      <c r="N18" s="67"/>
      <c r="O18" s="69"/>
      <c r="P18" s="69"/>
      <c r="Q18" s="73"/>
      <c r="R18" s="67"/>
      <c r="S18" s="69"/>
      <c r="T18" s="69"/>
      <c r="U18" s="73"/>
      <c r="V18" s="67"/>
      <c r="W18" s="69"/>
      <c r="X18" s="69"/>
      <c r="Y18" s="73"/>
    </row>
    <row r="19" spans="1:25">
      <c r="A19" s="107"/>
      <c r="B19" s="66"/>
      <c r="C19" s="127"/>
      <c r="D19" s="127"/>
      <c r="E19" s="128">
        <v>59.3</v>
      </c>
      <c r="F19" s="66"/>
      <c r="G19" s="69"/>
      <c r="H19" s="69"/>
      <c r="I19" s="128">
        <v>59.3</v>
      </c>
      <c r="J19" s="73"/>
      <c r="K19" s="69"/>
      <c r="L19" s="69"/>
      <c r="M19" s="73"/>
      <c r="N19" s="73"/>
      <c r="O19" s="69"/>
      <c r="P19" s="69"/>
      <c r="Q19" s="73"/>
      <c r="R19" s="73"/>
      <c r="S19" s="69"/>
      <c r="T19" s="69"/>
      <c r="U19" s="73"/>
      <c r="V19" s="73"/>
      <c r="W19" s="69"/>
      <c r="X19" s="69"/>
      <c r="Y19" s="73"/>
    </row>
    <row r="20" spans="1:25" s="54" customFormat="1">
      <c r="A20" s="112" t="s">
        <v>112</v>
      </c>
      <c r="B20" s="118">
        <f>SUM(B18:B19)</f>
        <v>0</v>
      </c>
      <c r="C20" s="118"/>
      <c r="D20" s="118"/>
      <c r="E20" s="118">
        <v>59.3</v>
      </c>
      <c r="F20" s="85">
        <f>SUM(F18:F19)</f>
        <v>0</v>
      </c>
      <c r="G20" s="86"/>
      <c r="H20" s="86"/>
      <c r="I20" s="118">
        <v>59.3</v>
      </c>
      <c r="J20" s="71">
        <f>SUM(J18:J19)</f>
        <v>0</v>
      </c>
      <c r="K20" s="86"/>
      <c r="L20" s="86"/>
      <c r="M20" s="71"/>
      <c r="N20" s="71">
        <f>SUM(N18:N19)</f>
        <v>0</v>
      </c>
      <c r="O20" s="86"/>
      <c r="P20" s="86"/>
      <c r="Q20" s="71"/>
      <c r="R20" s="71">
        <f>SUM(R18:R19)</f>
        <v>0</v>
      </c>
      <c r="S20" s="86"/>
      <c r="T20" s="86"/>
      <c r="U20" s="71"/>
      <c r="V20" s="71">
        <f>SUM(V18:V19)</f>
        <v>0</v>
      </c>
      <c r="W20" s="86"/>
      <c r="X20" s="86"/>
      <c r="Y20" s="71"/>
    </row>
    <row r="21" spans="1:25" ht="4.1500000000000004" customHeight="1">
      <c r="A21" s="108"/>
      <c r="B21" s="119"/>
      <c r="C21" s="119"/>
      <c r="D21" s="119"/>
      <c r="E21" s="120"/>
      <c r="F21" s="74"/>
      <c r="G21" s="73"/>
      <c r="H21" s="73"/>
      <c r="I21" s="120"/>
      <c r="J21" s="75"/>
      <c r="K21" s="73"/>
      <c r="L21" s="73"/>
      <c r="M21" s="71"/>
      <c r="N21" s="75"/>
      <c r="O21" s="73"/>
      <c r="P21" s="73"/>
      <c r="Q21" s="71"/>
      <c r="R21" s="75"/>
      <c r="S21" s="73"/>
      <c r="T21" s="73"/>
      <c r="U21" s="71"/>
      <c r="V21" s="75"/>
      <c r="W21" s="73"/>
      <c r="X21" s="73"/>
      <c r="Y21" s="71"/>
    </row>
    <row r="22" spans="1:25" s="54" customFormat="1">
      <c r="A22" s="108" t="s">
        <v>117</v>
      </c>
      <c r="B22" s="87">
        <f>B20</f>
        <v>0</v>
      </c>
      <c r="C22" s="87"/>
      <c r="D22" s="87"/>
      <c r="E22" s="88">
        <v>59.3</v>
      </c>
      <c r="F22" s="85">
        <f>F20</f>
        <v>0</v>
      </c>
      <c r="G22" s="87"/>
      <c r="H22" s="87"/>
      <c r="I22" s="88">
        <v>59.3</v>
      </c>
      <c r="J22" s="75">
        <f>J20</f>
        <v>0</v>
      </c>
      <c r="K22" s="87"/>
      <c r="L22" s="87"/>
      <c r="M22" s="88"/>
      <c r="N22" s="75">
        <f>N20</f>
        <v>0</v>
      </c>
      <c r="O22" s="87"/>
      <c r="P22" s="87"/>
      <c r="Q22" s="88"/>
      <c r="R22" s="75">
        <f>R20</f>
        <v>0</v>
      </c>
      <c r="S22" s="87"/>
      <c r="T22" s="87"/>
      <c r="U22" s="88"/>
      <c r="V22" s="75">
        <f>V20</f>
        <v>0</v>
      </c>
      <c r="W22" s="87"/>
      <c r="X22" s="87"/>
      <c r="Y22" s="88"/>
    </row>
    <row r="23" spans="1:25">
      <c r="A23" s="54"/>
      <c r="B23" s="93"/>
      <c r="C23" s="94"/>
      <c r="D23" s="94"/>
      <c r="E23" s="95"/>
      <c r="F23" s="93"/>
      <c r="G23" s="94"/>
      <c r="H23" s="95"/>
      <c r="I23" s="93"/>
      <c r="J23" s="93"/>
      <c r="K23" s="94"/>
      <c r="L23" s="95"/>
      <c r="M23" s="93"/>
      <c r="N23" s="93"/>
      <c r="O23" s="94"/>
      <c r="P23" s="95"/>
      <c r="Q23" s="93"/>
      <c r="R23" s="93"/>
      <c r="S23" s="94"/>
      <c r="T23" s="95"/>
      <c r="U23" s="93"/>
      <c r="V23" s="93"/>
      <c r="W23" s="94"/>
      <c r="X23" s="95"/>
      <c r="Y23" s="93"/>
    </row>
    <row r="24" spans="1:25">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c r="A25" s="113"/>
      <c r="B25" s="717" t="s">
        <v>62</v>
      </c>
      <c r="C25" s="717"/>
      <c r="D25" s="717"/>
      <c r="E25" s="717"/>
      <c r="F25" s="717" t="s">
        <v>118</v>
      </c>
      <c r="G25" s="717"/>
      <c r="H25" s="717"/>
      <c r="I25" s="717" t="s">
        <v>62</v>
      </c>
      <c r="J25" s="717" t="s">
        <v>119</v>
      </c>
      <c r="K25" s="717"/>
      <c r="L25" s="717"/>
      <c r="M25" s="717" t="s">
        <v>62</v>
      </c>
      <c r="N25" s="717" t="s">
        <v>65</v>
      </c>
      <c r="O25" s="717"/>
      <c r="P25" s="717"/>
      <c r="Q25" s="717" t="s">
        <v>62</v>
      </c>
      <c r="R25" s="717" t="s">
        <v>120</v>
      </c>
      <c r="S25" s="717"/>
      <c r="T25" s="717"/>
      <c r="U25" s="717" t="s">
        <v>62</v>
      </c>
      <c r="V25" s="717" t="s">
        <v>67</v>
      </c>
      <c r="W25" s="717"/>
      <c r="X25" s="717"/>
      <c r="Y25" s="717" t="s">
        <v>62</v>
      </c>
    </row>
    <row r="26" spans="1:25" ht="38.25">
      <c r="A26" s="651" t="s">
        <v>105</v>
      </c>
      <c r="B26" s="65" t="s">
        <v>106</v>
      </c>
      <c r="C26" s="65" t="s">
        <v>107</v>
      </c>
      <c r="D26" s="65" t="s">
        <v>108</v>
      </c>
      <c r="E26" s="65" t="s">
        <v>109</v>
      </c>
      <c r="F26" s="65" t="s">
        <v>106</v>
      </c>
      <c r="G26" s="65" t="s">
        <v>107</v>
      </c>
      <c r="H26" s="65" t="s">
        <v>108</v>
      </c>
      <c r="I26" s="65" t="s">
        <v>109</v>
      </c>
      <c r="J26" s="65" t="s">
        <v>106</v>
      </c>
      <c r="K26" s="65" t="s">
        <v>107</v>
      </c>
      <c r="L26" s="65" t="s">
        <v>108</v>
      </c>
      <c r="M26" s="65" t="s">
        <v>109</v>
      </c>
      <c r="N26" s="65" t="s">
        <v>106</v>
      </c>
      <c r="O26" s="65" t="s">
        <v>107</v>
      </c>
      <c r="P26" s="65" t="s">
        <v>108</v>
      </c>
      <c r="Q26" s="65" t="s">
        <v>109</v>
      </c>
      <c r="R26" s="65" t="s">
        <v>106</v>
      </c>
      <c r="S26" s="65" t="s">
        <v>107</v>
      </c>
      <c r="T26" s="65" t="s">
        <v>108</v>
      </c>
      <c r="U26" s="65" t="s">
        <v>109</v>
      </c>
      <c r="V26" s="65" t="s">
        <v>106</v>
      </c>
      <c r="W26" s="65" t="s">
        <v>107</v>
      </c>
      <c r="X26" s="65" t="s">
        <v>108</v>
      </c>
      <c r="Y26" s="65" t="s">
        <v>109</v>
      </c>
    </row>
    <row r="27" spans="1:25">
      <c r="A27" s="107" t="s">
        <v>121</v>
      </c>
      <c r="B27" s="89"/>
      <c r="C27" s="89"/>
      <c r="D27" s="69"/>
      <c r="E27" s="129"/>
      <c r="F27" s="73"/>
      <c r="G27" s="69"/>
      <c r="H27" s="72"/>
      <c r="I27" s="71"/>
      <c r="J27" s="73"/>
      <c r="K27" s="69"/>
      <c r="L27" s="72"/>
      <c r="M27" s="71"/>
      <c r="N27" s="73"/>
      <c r="O27" s="69"/>
      <c r="P27" s="72"/>
      <c r="Q27" s="71"/>
      <c r="R27" s="73"/>
      <c r="S27" s="69"/>
      <c r="T27" s="72"/>
      <c r="U27" s="71"/>
      <c r="V27" s="73"/>
      <c r="W27" s="69"/>
      <c r="X27" s="72"/>
      <c r="Y27" s="71"/>
    </row>
    <row r="28" spans="1:25">
      <c r="A28" s="107" t="s">
        <v>111</v>
      </c>
      <c r="B28" s="89"/>
      <c r="C28" s="130"/>
      <c r="D28" s="69"/>
      <c r="E28" s="129">
        <f>SUM(B28:D28)</f>
        <v>0</v>
      </c>
      <c r="F28" s="73"/>
      <c r="G28" s="69"/>
      <c r="H28" s="72"/>
      <c r="I28" s="71">
        <f>SUM(G28:H28)</f>
        <v>0</v>
      </c>
      <c r="J28" s="73"/>
      <c r="K28" s="69"/>
      <c r="L28" s="72"/>
      <c r="M28" s="71">
        <f>SUM(K28:L28)</f>
        <v>0</v>
      </c>
      <c r="N28" s="73"/>
      <c r="O28" s="69"/>
      <c r="P28" s="72"/>
      <c r="Q28" s="71">
        <f t="shared" ref="Q28:Q33" si="1">SUM(O28:P28)</f>
        <v>0</v>
      </c>
      <c r="R28" s="73"/>
      <c r="S28" s="69"/>
      <c r="T28" s="72"/>
      <c r="U28" s="71">
        <f>SUM(S28:T28)</f>
        <v>0</v>
      </c>
      <c r="V28" s="73"/>
      <c r="W28" s="69"/>
      <c r="X28" s="72"/>
      <c r="Y28" s="71">
        <f>SUM(W28:X28)</f>
        <v>0</v>
      </c>
    </row>
    <row r="29" spans="1:25">
      <c r="A29" s="107" t="s">
        <v>122</v>
      </c>
      <c r="B29" s="89"/>
      <c r="C29" s="69"/>
      <c r="D29" s="69"/>
      <c r="E29" s="129"/>
      <c r="F29" s="73"/>
      <c r="G29" s="69"/>
      <c r="H29" s="72"/>
      <c r="I29" s="71">
        <f>SUM(G29:H29)</f>
        <v>0</v>
      </c>
      <c r="J29" s="73"/>
      <c r="K29" s="69"/>
      <c r="L29" s="72"/>
      <c r="M29" s="71">
        <f t="shared" ref="M29:M40" si="2">SUM(K29:L29)</f>
        <v>0</v>
      </c>
      <c r="N29" s="73"/>
      <c r="O29" s="69"/>
      <c r="P29" s="72"/>
      <c r="Q29" s="71">
        <f t="shared" si="1"/>
        <v>0</v>
      </c>
      <c r="R29" s="73"/>
      <c r="S29" s="69"/>
      <c r="T29" s="72"/>
      <c r="U29" s="71"/>
      <c r="V29" s="73"/>
      <c r="W29" s="69"/>
      <c r="X29" s="72"/>
      <c r="Y29" s="71"/>
    </row>
    <row r="30" spans="1:25">
      <c r="A30" s="107" t="s">
        <v>123</v>
      </c>
      <c r="B30" s="89"/>
      <c r="C30" s="69"/>
      <c r="D30" s="69"/>
      <c r="E30" s="129"/>
      <c r="F30" s="73"/>
      <c r="G30" s="90"/>
      <c r="H30" s="90"/>
      <c r="I30" s="71">
        <f>SUM(G30:H30)</f>
        <v>0</v>
      </c>
      <c r="J30" s="73"/>
      <c r="K30" s="90"/>
      <c r="L30" s="90"/>
      <c r="M30" s="71">
        <f t="shared" si="2"/>
        <v>0</v>
      </c>
      <c r="N30" s="73"/>
      <c r="O30" s="90"/>
      <c r="P30" s="90"/>
      <c r="Q30" s="71">
        <f t="shared" si="1"/>
        <v>0</v>
      </c>
      <c r="R30" s="73"/>
      <c r="S30" s="90"/>
      <c r="T30" s="90"/>
      <c r="U30" s="71"/>
      <c r="V30" s="73"/>
      <c r="W30" s="90"/>
      <c r="X30" s="90"/>
      <c r="Y30" s="71"/>
    </row>
    <row r="31" spans="1:25">
      <c r="A31" s="107" t="s">
        <v>124</v>
      </c>
      <c r="B31" s="89"/>
      <c r="C31" s="69"/>
      <c r="D31" s="69"/>
      <c r="E31" s="129"/>
      <c r="F31" s="73"/>
      <c r="G31" s="90"/>
      <c r="H31" s="90"/>
      <c r="I31" s="71">
        <f>SUM(G31:H31)</f>
        <v>0</v>
      </c>
      <c r="J31" s="73"/>
      <c r="K31" s="90"/>
      <c r="L31" s="90"/>
      <c r="M31" s="71">
        <f t="shared" si="2"/>
        <v>0</v>
      </c>
      <c r="N31" s="73"/>
      <c r="O31" s="90"/>
      <c r="P31" s="90"/>
      <c r="Q31" s="71">
        <f t="shared" si="1"/>
        <v>0</v>
      </c>
      <c r="R31" s="73"/>
      <c r="S31" s="90"/>
      <c r="T31" s="90"/>
      <c r="U31" s="71"/>
      <c r="V31" s="73"/>
      <c r="W31" s="90"/>
      <c r="X31" s="90"/>
      <c r="Y31" s="71"/>
    </row>
    <row r="32" spans="1:25">
      <c r="A32" s="107" t="s">
        <v>125</v>
      </c>
      <c r="B32" s="73"/>
      <c r="C32" s="69"/>
      <c r="D32" s="69"/>
      <c r="E32" s="129">
        <f>SUM(B32:D32)</f>
        <v>0</v>
      </c>
      <c r="F32" s="73"/>
      <c r="G32" s="69"/>
      <c r="H32" s="69"/>
      <c r="I32" s="71">
        <f>SUM(G32:H32)</f>
        <v>0</v>
      </c>
      <c r="J32" s="73"/>
      <c r="K32" s="69"/>
      <c r="L32" s="69"/>
      <c r="M32" s="71">
        <f t="shared" si="2"/>
        <v>0</v>
      </c>
      <c r="N32" s="73"/>
      <c r="O32" s="69"/>
      <c r="P32" s="69"/>
      <c r="Q32" s="71">
        <f t="shared" si="1"/>
        <v>0</v>
      </c>
      <c r="R32" s="73"/>
      <c r="S32" s="69"/>
      <c r="T32" s="69"/>
      <c r="U32" s="71">
        <f>SUM(S32:T32)</f>
        <v>0</v>
      </c>
      <c r="V32" s="73"/>
      <c r="W32" s="69"/>
      <c r="X32" s="69"/>
      <c r="Y32" s="71">
        <f>SUM(W32:X32)</f>
        <v>0</v>
      </c>
    </row>
    <row r="33" spans="1:25" s="54" customFormat="1">
      <c r="A33" s="108" t="s">
        <v>112</v>
      </c>
      <c r="B33" s="131"/>
      <c r="C33" s="75">
        <f>SUM(C27:C32)</f>
        <v>0</v>
      </c>
      <c r="D33" s="75">
        <f>SUM(D27:D32)</f>
        <v>0</v>
      </c>
      <c r="E33" s="75">
        <f>SUM(E27:E32)</f>
        <v>0</v>
      </c>
      <c r="F33" s="75"/>
      <c r="G33" s="71">
        <f>SUM(G27:G32)</f>
        <v>0</v>
      </c>
      <c r="H33" s="71">
        <f>SUM(H27:H32)</f>
        <v>0</v>
      </c>
      <c r="I33" s="71">
        <f>SUM(I27:I32)</f>
        <v>0</v>
      </c>
      <c r="J33" s="75"/>
      <c r="K33" s="71">
        <f>SUM(K28:K32)</f>
        <v>0</v>
      </c>
      <c r="L33" s="71">
        <f>SUM(L28:L32)</f>
        <v>0</v>
      </c>
      <c r="M33" s="71">
        <f t="shared" si="2"/>
        <v>0</v>
      </c>
      <c r="N33" s="75"/>
      <c r="O33" s="71">
        <f>SUM(O28:O32)</f>
        <v>0</v>
      </c>
      <c r="P33" s="71">
        <f>SUM(P28:P32)</f>
        <v>0</v>
      </c>
      <c r="Q33" s="71">
        <f t="shared" si="1"/>
        <v>0</v>
      </c>
      <c r="R33" s="75"/>
      <c r="S33" s="71">
        <f>SUM(S28:S32)</f>
        <v>0</v>
      </c>
      <c r="T33" s="71">
        <f>SUM(T28:T32)</f>
        <v>0</v>
      </c>
      <c r="U33" s="71">
        <f>SUM(S33:T33)</f>
        <v>0</v>
      </c>
      <c r="V33" s="75"/>
      <c r="W33" s="71">
        <f>SUM(W28:W32)</f>
        <v>0</v>
      </c>
      <c r="X33" s="71">
        <f>SUM(X28:X32)</f>
        <v>0</v>
      </c>
      <c r="Y33" s="71">
        <f>SUM(W33:X33)</f>
        <v>0</v>
      </c>
    </row>
    <row r="34" spans="1:25" ht="4.1500000000000004" customHeight="1">
      <c r="A34" s="108"/>
      <c r="B34" s="75"/>
      <c r="C34" s="73"/>
      <c r="D34" s="73"/>
      <c r="E34" s="71"/>
      <c r="F34" s="75"/>
      <c r="G34" s="73"/>
      <c r="H34" s="73"/>
      <c r="I34" s="71"/>
      <c r="J34" s="75"/>
      <c r="K34" s="73"/>
      <c r="L34" s="73"/>
      <c r="M34" s="71"/>
      <c r="N34" s="75"/>
      <c r="O34" s="73"/>
      <c r="P34" s="73"/>
      <c r="Q34" s="71"/>
      <c r="R34" s="75"/>
      <c r="S34" s="73"/>
      <c r="T34" s="73"/>
      <c r="U34" s="71"/>
      <c r="V34" s="75"/>
      <c r="W34" s="73"/>
      <c r="X34" s="73"/>
      <c r="Y34" s="71"/>
    </row>
    <row r="35" spans="1:25">
      <c r="A35" s="109" t="s">
        <v>55</v>
      </c>
      <c r="B35" s="79"/>
      <c r="C35" s="77"/>
      <c r="D35" s="77"/>
      <c r="E35" s="78"/>
      <c r="F35" s="79"/>
      <c r="G35" s="77"/>
      <c r="H35" s="78"/>
      <c r="I35" s="71">
        <f>SUM(G35:H35)</f>
        <v>0</v>
      </c>
      <c r="J35" s="79"/>
      <c r="K35" s="77"/>
      <c r="L35" s="78"/>
      <c r="M35" s="71">
        <f t="shared" si="2"/>
        <v>0</v>
      </c>
      <c r="N35" s="79"/>
      <c r="O35" s="71"/>
      <c r="P35" s="78"/>
      <c r="Q35" s="71">
        <f t="shared" ref="Q35:Q40" si="3">SUM(O35:P35)</f>
        <v>0</v>
      </c>
      <c r="R35" s="79"/>
      <c r="S35" s="77"/>
      <c r="T35" s="78"/>
      <c r="U35" s="71">
        <f t="shared" ref="U35:U40" si="4">SUM(S35:T35)</f>
        <v>0</v>
      </c>
      <c r="V35" s="79"/>
      <c r="W35" s="77"/>
      <c r="X35" s="78"/>
      <c r="Y35" s="71">
        <f t="shared" ref="Y35:Y40" si="5">SUM(W35:X35)</f>
        <v>0</v>
      </c>
    </row>
    <row r="36" spans="1:25">
      <c r="A36" s="107" t="s">
        <v>113</v>
      </c>
      <c r="B36" s="89"/>
      <c r="C36" s="89"/>
      <c r="D36" s="69"/>
      <c r="E36" s="129"/>
      <c r="F36" s="73"/>
      <c r="G36" s="69"/>
      <c r="H36" s="69"/>
      <c r="I36" s="71">
        <f>SUM(G36:H36)</f>
        <v>0</v>
      </c>
      <c r="J36" s="73"/>
      <c r="K36" s="69"/>
      <c r="L36" s="69"/>
      <c r="M36" s="71">
        <f t="shared" si="2"/>
        <v>0</v>
      </c>
      <c r="N36" s="73"/>
      <c r="O36" s="71"/>
      <c r="P36" s="69"/>
      <c r="Q36" s="71">
        <f t="shared" si="3"/>
        <v>0</v>
      </c>
      <c r="R36" s="73"/>
      <c r="S36" s="69"/>
      <c r="T36" s="69"/>
      <c r="U36" s="71">
        <f t="shared" si="4"/>
        <v>0</v>
      </c>
      <c r="V36" s="73"/>
      <c r="W36" s="69"/>
      <c r="X36" s="69"/>
      <c r="Y36" s="71">
        <f t="shared" si="5"/>
        <v>0</v>
      </c>
    </row>
    <row r="37" spans="1:25">
      <c r="A37" s="107" t="s">
        <v>126</v>
      </c>
      <c r="B37" s="89"/>
      <c r="C37" s="89"/>
      <c r="D37" s="69"/>
      <c r="E37" s="129"/>
      <c r="F37" s="73"/>
      <c r="G37" s="69"/>
      <c r="H37" s="69"/>
      <c r="I37" s="71">
        <f>SUM(G37:H37)</f>
        <v>0</v>
      </c>
      <c r="J37" s="73"/>
      <c r="K37" s="69"/>
      <c r="L37" s="69"/>
      <c r="M37" s="71">
        <f t="shared" si="2"/>
        <v>0</v>
      </c>
      <c r="N37" s="73"/>
      <c r="O37" s="71"/>
      <c r="P37" s="69"/>
      <c r="Q37" s="71">
        <f t="shared" si="3"/>
        <v>0</v>
      </c>
      <c r="R37" s="73"/>
      <c r="S37" s="69"/>
      <c r="T37" s="69"/>
      <c r="U37" s="71">
        <f t="shared" si="4"/>
        <v>0</v>
      </c>
      <c r="V37" s="73"/>
      <c r="W37" s="69"/>
      <c r="X37" s="69"/>
      <c r="Y37" s="71">
        <f t="shared" si="5"/>
        <v>0</v>
      </c>
    </row>
    <row r="38" spans="1:25">
      <c r="A38" s="107" t="s">
        <v>114</v>
      </c>
      <c r="B38" s="89"/>
      <c r="C38" s="89"/>
      <c r="D38" s="69"/>
      <c r="E38" s="129"/>
      <c r="F38" s="73"/>
      <c r="G38" s="69"/>
      <c r="H38" s="69"/>
      <c r="I38" s="71">
        <f>SUM(G38:H38)</f>
        <v>0</v>
      </c>
      <c r="J38" s="73"/>
      <c r="K38" s="69"/>
      <c r="L38" s="69"/>
      <c r="M38" s="71">
        <f t="shared" si="2"/>
        <v>0</v>
      </c>
      <c r="N38" s="73"/>
      <c r="O38" s="71"/>
      <c r="P38" s="69"/>
      <c r="Q38" s="71">
        <f t="shared" si="3"/>
        <v>0</v>
      </c>
      <c r="R38" s="73"/>
      <c r="S38" s="69"/>
      <c r="T38" s="69"/>
      <c r="U38" s="71">
        <f t="shared" si="4"/>
        <v>0</v>
      </c>
      <c r="V38" s="73"/>
      <c r="W38" s="69"/>
      <c r="X38" s="69"/>
      <c r="Y38" s="71">
        <f t="shared" si="5"/>
        <v>0</v>
      </c>
    </row>
    <row r="39" spans="1:25">
      <c r="A39" s="107"/>
      <c r="B39" s="73"/>
      <c r="C39" s="69"/>
      <c r="D39" s="69"/>
      <c r="E39" s="86"/>
      <c r="F39" s="73"/>
      <c r="G39" s="69"/>
      <c r="H39" s="69"/>
      <c r="I39" s="71">
        <f>SUM(G39:H39)</f>
        <v>0</v>
      </c>
      <c r="J39" s="73"/>
      <c r="K39" s="69"/>
      <c r="L39" s="69"/>
      <c r="M39" s="71">
        <f t="shared" si="2"/>
        <v>0</v>
      </c>
      <c r="N39" s="73"/>
      <c r="O39" s="71"/>
      <c r="P39" s="69"/>
      <c r="Q39" s="71">
        <f t="shared" si="3"/>
        <v>0</v>
      </c>
      <c r="R39" s="73"/>
      <c r="S39" s="69"/>
      <c r="T39" s="69"/>
      <c r="U39" s="71">
        <f t="shared" si="4"/>
        <v>0</v>
      </c>
      <c r="V39" s="73"/>
      <c r="W39" s="69"/>
      <c r="X39" s="69"/>
      <c r="Y39" s="71">
        <f t="shared" si="5"/>
        <v>0</v>
      </c>
    </row>
    <row r="40" spans="1:25" s="54" customFormat="1">
      <c r="A40" s="108" t="s">
        <v>112</v>
      </c>
      <c r="B40" s="131"/>
      <c r="C40" s="75">
        <f>SUM(C35:C39)</f>
        <v>0</v>
      </c>
      <c r="D40" s="75">
        <f>SUM(D36:D39)</f>
        <v>0</v>
      </c>
      <c r="E40" s="75">
        <f>SUM(E36:E39)</f>
        <v>0</v>
      </c>
      <c r="F40" s="75"/>
      <c r="G40" s="71">
        <f>SUM(G35:G39)</f>
        <v>0</v>
      </c>
      <c r="H40" s="71">
        <f>SUM(H35:H39)</f>
        <v>0</v>
      </c>
      <c r="I40" s="71">
        <f>SUM(I35:I39)</f>
        <v>0</v>
      </c>
      <c r="J40" s="75"/>
      <c r="K40" s="71">
        <f>(K35+K39)</f>
        <v>0</v>
      </c>
      <c r="L40" s="71">
        <f>(L35+L39)</f>
        <v>0</v>
      </c>
      <c r="M40" s="71">
        <f t="shared" si="2"/>
        <v>0</v>
      </c>
      <c r="N40" s="75"/>
      <c r="O40" s="71"/>
      <c r="P40" s="71"/>
      <c r="Q40" s="71">
        <f t="shared" si="3"/>
        <v>0</v>
      </c>
      <c r="R40" s="75"/>
      <c r="S40" s="71"/>
      <c r="T40" s="71"/>
      <c r="U40" s="71">
        <f t="shared" si="4"/>
        <v>0</v>
      </c>
      <c r="V40" s="75"/>
      <c r="W40" s="71"/>
      <c r="X40" s="71"/>
      <c r="Y40" s="71">
        <f t="shared" si="5"/>
        <v>0</v>
      </c>
    </row>
    <row r="41" spans="1:25" ht="4.1500000000000004" customHeight="1">
      <c r="A41" s="108"/>
      <c r="B41" s="75"/>
      <c r="C41" s="73"/>
      <c r="D41" s="73"/>
      <c r="E41" s="71"/>
      <c r="F41" s="75"/>
      <c r="G41" s="73"/>
      <c r="H41" s="73"/>
      <c r="I41" s="71"/>
      <c r="J41" s="75"/>
      <c r="K41" s="73"/>
      <c r="L41" s="73"/>
      <c r="M41" s="71"/>
      <c r="N41" s="75"/>
      <c r="O41" s="73"/>
      <c r="P41" s="73"/>
      <c r="Q41" s="71"/>
      <c r="R41" s="75"/>
      <c r="S41" s="73"/>
      <c r="T41" s="73"/>
      <c r="U41" s="71"/>
      <c r="V41" s="75"/>
      <c r="W41" s="73"/>
      <c r="X41" s="73"/>
      <c r="Y41" s="71"/>
    </row>
    <row r="42" spans="1:25" ht="17.25" customHeight="1">
      <c r="A42" s="108" t="s">
        <v>109</v>
      </c>
      <c r="B42" s="75"/>
      <c r="C42" s="75">
        <f>C33+C40</f>
        <v>0</v>
      </c>
      <c r="D42" s="75">
        <f>D33+D40</f>
        <v>0</v>
      </c>
      <c r="E42" s="75">
        <f>E33+E40</f>
        <v>0</v>
      </c>
      <c r="F42" s="75"/>
      <c r="G42" s="71">
        <f>G33+G40</f>
        <v>0</v>
      </c>
      <c r="H42" s="71">
        <f>H33+H40</f>
        <v>0</v>
      </c>
      <c r="I42" s="71">
        <f>I33+I40</f>
        <v>0</v>
      </c>
      <c r="J42" s="75"/>
      <c r="K42" s="71">
        <f>(K33+K40)</f>
        <v>0</v>
      </c>
      <c r="L42" s="71">
        <f>(L33+L40)</f>
        <v>0</v>
      </c>
      <c r="M42" s="71">
        <f>(M33+M40)</f>
        <v>0</v>
      </c>
      <c r="N42" s="71">
        <f>N33+N40</f>
        <v>0</v>
      </c>
      <c r="O42" s="71">
        <f>O33+O40</f>
        <v>0</v>
      </c>
      <c r="P42" s="71">
        <f>(P33+P40)</f>
        <v>0</v>
      </c>
      <c r="Q42" s="71">
        <f>(Q33+Q40)</f>
        <v>0</v>
      </c>
      <c r="R42" s="71">
        <f t="shared" ref="R42:Y42" si="6">SUM(R33:R40)</f>
        <v>0</v>
      </c>
      <c r="S42" s="71">
        <f t="shared" si="6"/>
        <v>0</v>
      </c>
      <c r="T42" s="71">
        <f t="shared" si="6"/>
        <v>0</v>
      </c>
      <c r="U42" s="71">
        <f t="shared" si="6"/>
        <v>0</v>
      </c>
      <c r="V42" s="71">
        <f t="shared" si="6"/>
        <v>0</v>
      </c>
      <c r="W42" s="71">
        <f t="shared" si="6"/>
        <v>0</v>
      </c>
      <c r="X42" s="71">
        <f t="shared" si="6"/>
        <v>0</v>
      </c>
      <c r="Y42" s="71">
        <f t="shared" si="6"/>
        <v>0</v>
      </c>
    </row>
    <row r="43" spans="1:25" ht="17.25" customHeight="1">
      <c r="A43" s="110"/>
      <c r="B43" s="81"/>
      <c r="C43" s="80"/>
      <c r="D43" s="80"/>
      <c r="E43" s="81"/>
      <c r="F43" s="81"/>
      <c r="G43" s="80"/>
      <c r="H43" s="80"/>
      <c r="I43" s="81"/>
      <c r="J43" s="81"/>
      <c r="K43" s="80"/>
      <c r="L43" s="80"/>
      <c r="M43" s="81"/>
      <c r="N43" s="81"/>
      <c r="O43" s="80"/>
      <c r="P43" s="80"/>
      <c r="Q43" s="81"/>
      <c r="R43" s="81"/>
      <c r="S43" s="80"/>
      <c r="T43" s="80"/>
      <c r="U43" s="81"/>
      <c r="V43" s="81"/>
      <c r="W43" s="80"/>
      <c r="X43" s="80"/>
      <c r="Y43" s="81"/>
    </row>
    <row r="44" spans="1:25">
      <c r="A44" s="651" t="s">
        <v>115</v>
      </c>
      <c r="B44" s="132"/>
      <c r="C44" s="82"/>
      <c r="D44" s="82"/>
      <c r="E44" s="133"/>
      <c r="F44" s="83"/>
      <c r="G44" s="82"/>
      <c r="H44" s="82"/>
      <c r="I44" s="83"/>
      <c r="J44" s="83"/>
      <c r="K44" s="82"/>
      <c r="L44" s="82"/>
      <c r="M44" s="83"/>
      <c r="N44" s="83"/>
      <c r="O44" s="82"/>
      <c r="P44" s="82"/>
      <c r="Q44" s="83"/>
      <c r="R44" s="83"/>
      <c r="S44" s="82"/>
      <c r="T44" s="82"/>
      <c r="U44" s="83"/>
      <c r="V44" s="83"/>
      <c r="W44" s="82"/>
      <c r="X44" s="82"/>
      <c r="Y44" s="84"/>
    </row>
    <row r="45" spans="1:25">
      <c r="A45" s="111" t="s">
        <v>116</v>
      </c>
      <c r="B45" s="73"/>
      <c r="C45" s="89"/>
      <c r="D45" s="89"/>
      <c r="E45" s="86"/>
      <c r="F45" s="67"/>
      <c r="G45" s="89"/>
      <c r="H45" s="89"/>
      <c r="I45" s="86"/>
      <c r="J45" s="67"/>
      <c r="K45" s="89"/>
      <c r="L45" s="89"/>
      <c r="M45" s="86"/>
      <c r="N45" s="67"/>
      <c r="O45" s="89"/>
      <c r="P45" s="89"/>
      <c r="Q45" s="86"/>
      <c r="R45" s="67"/>
      <c r="S45" s="89"/>
      <c r="T45" s="89"/>
      <c r="U45" s="86"/>
      <c r="V45" s="67"/>
      <c r="W45" s="89"/>
      <c r="X45" s="89"/>
      <c r="Y45" s="86"/>
    </row>
    <row r="46" spans="1:25">
      <c r="A46" s="107"/>
      <c r="B46" s="73"/>
      <c r="C46" s="69"/>
      <c r="D46" s="69"/>
      <c r="E46" s="86"/>
      <c r="F46" s="73"/>
      <c r="G46" s="69"/>
      <c r="H46" s="69"/>
      <c r="I46" s="86"/>
      <c r="J46" s="73"/>
      <c r="K46" s="69"/>
      <c r="L46" s="69"/>
      <c r="M46" s="86"/>
      <c r="N46" s="73"/>
      <c r="O46" s="69"/>
      <c r="P46" s="69"/>
      <c r="Q46" s="86"/>
      <c r="R46" s="73"/>
      <c r="S46" s="69"/>
      <c r="T46" s="69"/>
      <c r="U46" s="86"/>
      <c r="V46" s="73"/>
      <c r="W46" s="69"/>
      <c r="X46" s="69"/>
      <c r="Y46" s="86"/>
    </row>
    <row r="47" spans="1:25" s="54" customFormat="1">
      <c r="A47" s="112" t="s">
        <v>112</v>
      </c>
      <c r="B47" s="75">
        <f>SUM(B45:B46)</f>
        <v>0</v>
      </c>
      <c r="C47" s="75"/>
      <c r="D47" s="75"/>
      <c r="E47" s="75"/>
      <c r="F47" s="75">
        <f>SUM(F45:F46)</f>
        <v>0</v>
      </c>
      <c r="G47" s="75"/>
      <c r="H47" s="75"/>
      <c r="I47" s="75">
        <f>SUM(I45:I46)</f>
        <v>0</v>
      </c>
      <c r="J47" s="75"/>
      <c r="K47" s="75"/>
      <c r="L47" s="75"/>
      <c r="M47" s="75">
        <f>SUM(M45:M46)</f>
        <v>0</v>
      </c>
      <c r="N47" s="75"/>
      <c r="O47" s="75"/>
      <c r="P47" s="75"/>
      <c r="Q47" s="75">
        <f>SUM(Q45:Q46)</f>
        <v>0</v>
      </c>
      <c r="R47" s="75"/>
      <c r="S47" s="75"/>
      <c r="T47" s="75"/>
      <c r="U47" s="75">
        <f>SUM(U45:U46)</f>
        <v>0</v>
      </c>
      <c r="V47" s="75"/>
      <c r="W47" s="75"/>
      <c r="X47" s="75"/>
      <c r="Y47" s="75"/>
    </row>
    <row r="48" spans="1:25" ht="4.1500000000000004" customHeight="1">
      <c r="A48" s="108"/>
      <c r="B48" s="73"/>
      <c r="C48" s="73"/>
      <c r="D48" s="73"/>
      <c r="E48" s="71"/>
      <c r="F48" s="73"/>
      <c r="G48" s="73"/>
      <c r="H48" s="73"/>
      <c r="I48" s="71"/>
      <c r="J48" s="73"/>
      <c r="K48" s="73"/>
      <c r="L48" s="73"/>
      <c r="M48" s="71"/>
      <c r="N48" s="73"/>
      <c r="O48" s="73"/>
      <c r="P48" s="73"/>
      <c r="Q48" s="71"/>
      <c r="R48" s="73"/>
      <c r="S48" s="73"/>
      <c r="T48" s="73"/>
      <c r="U48" s="71"/>
      <c r="V48" s="73"/>
      <c r="W48" s="73"/>
      <c r="X48" s="73"/>
      <c r="Y48" s="71"/>
    </row>
    <row r="49" spans="1:25" s="57" customFormat="1">
      <c r="A49" s="108" t="s">
        <v>117</v>
      </c>
      <c r="B49" s="91">
        <f>B47</f>
        <v>0</v>
      </c>
      <c r="C49" s="91"/>
      <c r="D49" s="91"/>
      <c r="E49" s="91"/>
      <c r="F49" s="91">
        <f>F47</f>
        <v>0</v>
      </c>
      <c r="G49" s="91"/>
      <c r="H49" s="91"/>
      <c r="I49" s="91">
        <f>I47</f>
        <v>0</v>
      </c>
      <c r="J49" s="91"/>
      <c r="K49" s="91"/>
      <c r="L49" s="91"/>
      <c r="M49" s="91">
        <f>M47</f>
        <v>0</v>
      </c>
      <c r="N49" s="91"/>
      <c r="O49" s="91"/>
      <c r="P49" s="91"/>
      <c r="Q49" s="91">
        <f>Q47</f>
        <v>0</v>
      </c>
      <c r="R49" s="91"/>
      <c r="S49" s="91"/>
      <c r="T49" s="91"/>
      <c r="U49" s="91">
        <f>U47</f>
        <v>0</v>
      </c>
      <c r="V49" s="91"/>
      <c r="W49" s="91"/>
      <c r="X49" s="91"/>
      <c r="Y49" s="91"/>
    </row>
    <row r="50" spans="1:25" s="62" customFormat="1">
      <c r="A50" s="54"/>
      <c r="B50" s="58"/>
      <c r="C50" s="58"/>
      <c r="D50" s="58"/>
      <c r="E50" s="59"/>
      <c r="F50" s="57"/>
      <c r="G50" s="60"/>
      <c r="H50" s="61"/>
      <c r="I50" s="57"/>
      <c r="J50" s="57"/>
      <c r="K50" s="60"/>
      <c r="L50" s="61"/>
      <c r="M50" s="57"/>
      <c r="N50" s="57"/>
      <c r="O50" s="60"/>
      <c r="P50" s="61"/>
      <c r="Q50" s="57"/>
      <c r="R50" s="57"/>
      <c r="S50" s="60"/>
      <c r="T50" s="61"/>
      <c r="U50" s="57"/>
      <c r="V50" s="57"/>
      <c r="W50" s="60"/>
      <c r="X50" s="61"/>
      <c r="Y50" s="57"/>
    </row>
    <row r="51" spans="1:25">
      <c r="A51" s="54" t="s">
        <v>68</v>
      </c>
      <c r="B51" s="54"/>
      <c r="C51" s="56" t="s">
        <v>127</v>
      </c>
      <c r="D51" s="56"/>
      <c r="E51" s="56"/>
      <c r="F51" s="54"/>
      <c r="G51" s="56"/>
      <c r="H51" s="56"/>
      <c r="I51" s="54"/>
      <c r="J51" s="54"/>
      <c r="K51" s="56"/>
      <c r="L51" s="56"/>
      <c r="M51" s="54"/>
      <c r="N51" s="54"/>
      <c r="O51" s="56"/>
      <c r="P51" s="56"/>
      <c r="Q51" s="54"/>
      <c r="R51" s="54"/>
      <c r="S51" s="56"/>
      <c r="T51" s="56"/>
      <c r="V51" s="54"/>
      <c r="W51" s="56"/>
      <c r="X51" s="56"/>
      <c r="Y51" s="54"/>
    </row>
    <row r="52" spans="1:25">
      <c r="W52" s="56"/>
      <c r="X52" s="56"/>
    </row>
    <row r="53" spans="1:25">
      <c r="A53" s="54" t="s">
        <v>128</v>
      </c>
      <c r="B53" s="54" t="s">
        <v>129</v>
      </c>
      <c r="D53" s="56"/>
      <c r="G53" s="56"/>
      <c r="I53" s="54"/>
      <c r="K53" s="56"/>
      <c r="M53" s="54"/>
      <c r="O53" s="56"/>
      <c r="P53" s="56"/>
      <c r="S53" s="56"/>
      <c r="T53" s="56"/>
      <c r="W53" s="56"/>
      <c r="X53" s="56"/>
    </row>
    <row r="54" spans="1:25">
      <c r="A54" s="54" t="s">
        <v>130</v>
      </c>
      <c r="B54" s="54" t="s">
        <v>131</v>
      </c>
      <c r="D54" s="56"/>
      <c r="G54" s="56"/>
      <c r="I54" s="54"/>
      <c r="K54" s="56"/>
      <c r="M54" s="54"/>
      <c r="O54" s="56"/>
      <c r="P54" s="56"/>
      <c r="S54" s="56"/>
      <c r="T54" s="56"/>
    </row>
    <row r="55" spans="1:25">
      <c r="A55" s="54" t="s">
        <v>132</v>
      </c>
      <c r="B55" s="54" t="s">
        <v>133</v>
      </c>
      <c r="D55" s="56"/>
      <c r="G55" s="56"/>
      <c r="I55" s="54"/>
      <c r="K55" s="56"/>
      <c r="M55" s="54"/>
      <c r="U55" s="63"/>
      <c r="V55" s="63"/>
      <c r="Y55" s="63"/>
    </row>
    <row r="56" spans="1:25">
      <c r="A56" s="54" t="s">
        <v>134</v>
      </c>
      <c r="B56" s="54" t="s">
        <v>135</v>
      </c>
      <c r="D56" s="56"/>
      <c r="F56" s="63"/>
      <c r="I56" s="63"/>
      <c r="J56" s="63"/>
      <c r="M56" s="63"/>
      <c r="N56" s="63"/>
      <c r="Q56" s="63"/>
      <c r="R56" s="63"/>
      <c r="W56" s="56"/>
      <c r="X56" s="56"/>
    </row>
    <row r="57" spans="1:25">
      <c r="A57" s="54"/>
      <c r="B57" s="54"/>
      <c r="D57" s="56"/>
      <c r="G57" s="56"/>
      <c r="I57" s="54"/>
      <c r="K57" s="56"/>
      <c r="M57" s="54"/>
      <c r="O57" s="56"/>
      <c r="P57" s="56"/>
      <c r="S57" s="56"/>
      <c r="T57" s="56"/>
      <c r="U57" s="63"/>
      <c r="V57" s="63"/>
      <c r="Y57" s="63"/>
    </row>
    <row r="58" spans="1:25">
      <c r="A58" s="63"/>
      <c r="B58" s="63"/>
      <c r="F58" s="63"/>
      <c r="I58" s="63"/>
      <c r="J58" s="63"/>
      <c r="M58" s="63"/>
      <c r="N58" s="63"/>
      <c r="Q58" s="63"/>
      <c r="R58" s="63"/>
      <c r="U58" s="63"/>
      <c r="V58" s="63"/>
      <c r="Y58" s="63"/>
    </row>
    <row r="59" spans="1:25">
      <c r="A59" s="63"/>
      <c r="B59" s="63"/>
      <c r="F59" s="63"/>
      <c r="I59" s="63"/>
      <c r="J59" s="63"/>
      <c r="M59" s="63"/>
      <c r="N59" s="63"/>
      <c r="Q59" s="63"/>
      <c r="R59" s="63"/>
      <c r="U59" s="63"/>
      <c r="V59" s="63"/>
      <c r="Y59" s="63"/>
    </row>
    <row r="60" spans="1:25">
      <c r="A60" s="63"/>
      <c r="B60" s="63"/>
      <c r="F60" s="63"/>
      <c r="I60" s="63"/>
      <c r="J60" s="63"/>
      <c r="M60" s="63"/>
      <c r="N60" s="63"/>
      <c r="Q60" s="63"/>
      <c r="R60" s="63"/>
      <c r="U60" s="63"/>
      <c r="V60" s="63"/>
      <c r="Y60" s="63"/>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49"/>
  <sheetViews>
    <sheetView showRuler="0" showWhiteSpace="0" topLeftCell="A10" zoomScale="80" zoomScaleNormal="80" workbookViewId="0">
      <selection activeCell="A45" sqref="A45"/>
    </sheetView>
  </sheetViews>
  <sheetFormatPr defaultColWidth="9.140625" defaultRowHeight="12.75"/>
  <cols>
    <col min="1" max="1" width="48" style="55" customWidth="1"/>
    <col min="2" max="3" width="13" style="55" customWidth="1"/>
    <col min="4" max="13" width="13.42578125" style="55" customWidth="1"/>
    <col min="14" max="15" width="9.140625" style="55"/>
    <col min="16" max="16" width="27.7109375" style="55" bestFit="1" customWidth="1"/>
    <col min="17" max="17" width="23.140625" style="55" bestFit="1" customWidth="1"/>
    <col min="18" max="16384" width="9.140625" style="55"/>
  </cols>
  <sheetData>
    <row r="2" spans="1:14" ht="20.25">
      <c r="B2" s="429" t="s">
        <v>39</v>
      </c>
      <c r="C2" s="54"/>
      <c r="D2" s="54"/>
      <c r="E2" s="430"/>
      <c r="F2" s="430"/>
      <c r="G2" s="430"/>
      <c r="H2" s="430"/>
      <c r="I2" s="430"/>
      <c r="J2" s="430"/>
      <c r="K2" s="430"/>
      <c r="L2" s="430"/>
      <c r="M2" s="430"/>
      <c r="N2" s="54"/>
    </row>
    <row r="3" spans="1:14" ht="18">
      <c r="B3" s="718" t="s">
        <v>136</v>
      </c>
      <c r="C3" s="718"/>
      <c r="D3" s="718"/>
      <c r="E3" s="718"/>
      <c r="F3" s="718"/>
      <c r="G3" s="718"/>
      <c r="H3" s="718"/>
      <c r="I3" s="718"/>
      <c r="J3" s="718"/>
      <c r="K3" s="718"/>
      <c r="L3" s="718"/>
      <c r="M3" s="718"/>
      <c r="N3" s="718"/>
    </row>
    <row r="4" spans="1:14" ht="18">
      <c r="A4" s="178"/>
      <c r="B4" s="54"/>
      <c r="C4" s="54"/>
      <c r="D4" s="54"/>
      <c r="E4" s="54"/>
      <c r="F4" s="431"/>
      <c r="G4" s="719" t="str">
        <f>'Program MW '!H3</f>
        <v>January 2020</v>
      </c>
      <c r="H4" s="719"/>
      <c r="I4" s="431"/>
      <c r="J4" s="54"/>
      <c r="K4" s="54"/>
      <c r="L4" s="54"/>
      <c r="M4" s="54"/>
      <c r="N4" s="54"/>
    </row>
    <row r="5" spans="1:14">
      <c r="B5" s="216"/>
      <c r="C5" s="216"/>
      <c r="D5" s="216"/>
    </row>
    <row r="7" spans="1:14" ht="21.75" customHeight="1">
      <c r="A7" s="106"/>
      <c r="B7" s="179" t="s">
        <v>10</v>
      </c>
      <c r="C7" s="179" t="s">
        <v>28</v>
      </c>
      <c r="D7" s="179" t="s">
        <v>44</v>
      </c>
      <c r="E7" s="179" t="s">
        <v>45</v>
      </c>
      <c r="F7" s="179" t="s">
        <v>137</v>
      </c>
      <c r="G7" s="179" t="s">
        <v>46</v>
      </c>
      <c r="H7" s="179" t="s">
        <v>62</v>
      </c>
      <c r="I7" s="179" t="s">
        <v>118</v>
      </c>
      <c r="J7" s="179" t="s">
        <v>119</v>
      </c>
      <c r="K7" s="179" t="s">
        <v>65</v>
      </c>
      <c r="L7" s="179" t="s">
        <v>120</v>
      </c>
      <c r="M7" s="180" t="s">
        <v>67</v>
      </c>
    </row>
    <row r="8" spans="1:14" ht="38.25">
      <c r="A8" s="321" t="s">
        <v>138</v>
      </c>
      <c r="B8" s="354" t="s">
        <v>107</v>
      </c>
      <c r="C8" s="140" t="s">
        <v>107</v>
      </c>
      <c r="D8" s="140" t="s">
        <v>107</v>
      </c>
      <c r="E8" s="140" t="s">
        <v>107</v>
      </c>
      <c r="F8" s="140" t="s">
        <v>107</v>
      </c>
      <c r="G8" s="140" t="s">
        <v>107</v>
      </c>
      <c r="H8" s="140" t="s">
        <v>107</v>
      </c>
      <c r="I8" s="140" t="s">
        <v>107</v>
      </c>
      <c r="J8" s="140" t="s">
        <v>107</v>
      </c>
      <c r="K8" s="140" t="s">
        <v>107</v>
      </c>
      <c r="L8" s="140" t="s">
        <v>139</v>
      </c>
      <c r="M8" s="140" t="s">
        <v>139</v>
      </c>
    </row>
    <row r="9" spans="1:14">
      <c r="A9" s="353" t="s">
        <v>110</v>
      </c>
      <c r="B9" s="355">
        <v>1.23E-2</v>
      </c>
      <c r="C9" s="355">
        <v>0</v>
      </c>
      <c r="D9" s="355">
        <v>0</v>
      </c>
      <c r="E9" s="355">
        <v>0</v>
      </c>
      <c r="F9" s="355">
        <v>0</v>
      </c>
      <c r="G9" s="355">
        <v>0</v>
      </c>
      <c r="H9" s="355">
        <v>0</v>
      </c>
      <c r="I9" s="355">
        <v>0</v>
      </c>
      <c r="J9" s="355">
        <v>0</v>
      </c>
      <c r="K9" s="355">
        <v>0</v>
      </c>
      <c r="L9" s="355">
        <v>0</v>
      </c>
      <c r="M9" s="355">
        <v>1.23E-2</v>
      </c>
    </row>
    <row r="10" spans="1:14">
      <c r="A10" s="353" t="s">
        <v>111</v>
      </c>
      <c r="B10" s="355">
        <v>0</v>
      </c>
      <c r="C10" s="355">
        <v>0</v>
      </c>
      <c r="D10" s="355">
        <v>0</v>
      </c>
      <c r="E10" s="355">
        <v>0</v>
      </c>
      <c r="F10" s="355">
        <v>0</v>
      </c>
      <c r="G10" s="355">
        <v>0</v>
      </c>
      <c r="H10" s="355">
        <v>0</v>
      </c>
      <c r="I10" s="355">
        <v>0</v>
      </c>
      <c r="J10" s="355">
        <v>0</v>
      </c>
      <c r="K10" s="355">
        <v>0</v>
      </c>
      <c r="L10" s="355">
        <v>0</v>
      </c>
      <c r="M10" s="355">
        <v>0</v>
      </c>
    </row>
    <row r="11" spans="1:14">
      <c r="A11" s="182" t="s">
        <v>140</v>
      </c>
      <c r="B11" s="355">
        <v>0</v>
      </c>
      <c r="C11" s="355">
        <v>0</v>
      </c>
      <c r="D11" s="355">
        <v>0</v>
      </c>
      <c r="E11" s="355">
        <v>0</v>
      </c>
      <c r="F11" s="355">
        <v>0</v>
      </c>
      <c r="G11" s="355">
        <v>0</v>
      </c>
      <c r="H11" s="355">
        <v>0</v>
      </c>
      <c r="I11" s="355">
        <v>0</v>
      </c>
      <c r="J11" s="355">
        <v>0</v>
      </c>
      <c r="K11" s="355">
        <v>0</v>
      </c>
      <c r="L11" s="355">
        <v>0</v>
      </c>
      <c r="M11" s="68">
        <v>0</v>
      </c>
    </row>
    <row r="12" spans="1:14">
      <c r="A12" s="182" t="s">
        <v>141</v>
      </c>
      <c r="B12" s="355">
        <v>0</v>
      </c>
      <c r="C12" s="355">
        <v>0</v>
      </c>
      <c r="D12" s="355">
        <v>0</v>
      </c>
      <c r="E12" s="355">
        <v>0</v>
      </c>
      <c r="F12" s="355">
        <v>0</v>
      </c>
      <c r="G12" s="355">
        <v>0</v>
      </c>
      <c r="H12" s="355">
        <v>0</v>
      </c>
      <c r="I12" s="355">
        <v>0</v>
      </c>
      <c r="J12" s="355">
        <v>0</v>
      </c>
      <c r="K12" s="355">
        <v>0</v>
      </c>
      <c r="L12" s="355">
        <v>0</v>
      </c>
      <c r="M12" s="116">
        <v>0</v>
      </c>
    </row>
    <row r="13" spans="1:14" s="54" customFormat="1">
      <c r="A13" s="181" t="s">
        <v>112</v>
      </c>
      <c r="B13" s="118">
        <f t="shared" ref="B13:G13" si="0">SUM(B9:B12)</f>
        <v>1.23E-2</v>
      </c>
      <c r="C13" s="118">
        <f t="shared" si="0"/>
        <v>0</v>
      </c>
      <c r="D13" s="118">
        <f t="shared" si="0"/>
        <v>0</v>
      </c>
      <c r="E13" s="118">
        <f t="shared" si="0"/>
        <v>0</v>
      </c>
      <c r="F13" s="118">
        <f t="shared" si="0"/>
        <v>0</v>
      </c>
      <c r="G13" s="118">
        <f t="shared" si="0"/>
        <v>0</v>
      </c>
      <c r="H13" s="71">
        <f t="shared" ref="H13" si="1">SUM(H9:H12)</f>
        <v>0</v>
      </c>
      <c r="I13" s="71">
        <f t="shared" ref="I13:M13" si="2">SUM(I9:I12)</f>
        <v>0</v>
      </c>
      <c r="J13" s="569">
        <f t="shared" si="2"/>
        <v>0</v>
      </c>
      <c r="K13" s="569">
        <f t="shared" si="2"/>
        <v>0</v>
      </c>
      <c r="L13" s="569">
        <f t="shared" si="2"/>
        <v>0</v>
      </c>
      <c r="M13" s="71">
        <f t="shared" si="2"/>
        <v>1.23E-2</v>
      </c>
    </row>
    <row r="14" spans="1:14" s="62" customFormat="1">
      <c r="A14" s="54"/>
      <c r="B14" s="58"/>
      <c r="C14" s="60"/>
      <c r="D14" s="60"/>
      <c r="E14" s="60"/>
      <c r="F14" s="60"/>
      <c r="G14" s="60"/>
    </row>
    <row r="15" spans="1:14" ht="15">
      <c r="A15" s="284" t="s">
        <v>68</v>
      </c>
      <c r="G15" s="56"/>
    </row>
    <row r="16" spans="1:14" ht="15">
      <c r="A16" s="473" t="s">
        <v>142</v>
      </c>
      <c r="B16" s="216"/>
      <c r="C16" s="216"/>
      <c r="D16" s="334"/>
      <c r="E16" s="334"/>
      <c r="F16" s="334"/>
      <c r="G16" s="216"/>
      <c r="H16" s="216"/>
      <c r="I16" s="216"/>
      <c r="J16" s="216"/>
      <c r="K16" s="216"/>
    </row>
    <row r="17" spans="1:17" ht="15">
      <c r="A17" s="472"/>
    </row>
    <row r="20" spans="1:17" ht="21.75" customHeight="1">
      <c r="A20" s="106"/>
      <c r="B20" s="179" t="s">
        <v>10</v>
      </c>
      <c r="C20" s="179" t="s">
        <v>28</v>
      </c>
      <c r="D20" s="179" t="s">
        <v>44</v>
      </c>
      <c r="E20" s="179" t="s">
        <v>45</v>
      </c>
      <c r="F20" s="179" t="s">
        <v>137</v>
      </c>
      <c r="G20" s="179" t="s">
        <v>46</v>
      </c>
      <c r="H20" s="179" t="s">
        <v>62</v>
      </c>
      <c r="I20" s="179" t="s">
        <v>118</v>
      </c>
      <c r="J20" s="179" t="s">
        <v>119</v>
      </c>
      <c r="K20" s="179" t="s">
        <v>65</v>
      </c>
      <c r="L20" s="179" t="s">
        <v>120</v>
      </c>
      <c r="M20" s="180" t="s">
        <v>67</v>
      </c>
      <c r="P20" s="434"/>
      <c r="Q20" s="434"/>
    </row>
    <row r="21" spans="1:17" ht="51">
      <c r="A21" s="320" t="s">
        <v>138</v>
      </c>
      <c r="B21" s="140" t="s">
        <v>143</v>
      </c>
      <c r="C21" s="140" t="str">
        <f>B21</f>
        <v>Technology Deployment- Residential MWs</v>
      </c>
      <c r="D21" s="140" t="str">
        <f>B21</f>
        <v>Technology Deployment- Residential MWs</v>
      </c>
      <c r="E21" s="140" t="str">
        <f t="shared" ref="E21:M21" si="3">C21</f>
        <v>Technology Deployment- Residential MWs</v>
      </c>
      <c r="F21" s="140" t="str">
        <f t="shared" si="3"/>
        <v>Technology Deployment- Residential MWs</v>
      </c>
      <c r="G21" s="140" t="str">
        <f t="shared" si="3"/>
        <v>Technology Deployment- Residential MWs</v>
      </c>
      <c r="H21" s="140" t="str">
        <f t="shared" si="3"/>
        <v>Technology Deployment- Residential MWs</v>
      </c>
      <c r="I21" s="140" t="str">
        <f t="shared" si="3"/>
        <v>Technology Deployment- Residential MWs</v>
      </c>
      <c r="J21" s="140" t="str">
        <f t="shared" si="3"/>
        <v>Technology Deployment- Residential MWs</v>
      </c>
      <c r="K21" s="140" t="str">
        <f t="shared" si="3"/>
        <v>Technology Deployment- Residential MWs</v>
      </c>
      <c r="L21" s="140" t="str">
        <f t="shared" si="3"/>
        <v>Technology Deployment- Residential MWs</v>
      </c>
      <c r="M21" s="140" t="str">
        <f t="shared" si="3"/>
        <v>Technology Deployment- Residential MWs</v>
      </c>
      <c r="Q21" s="434"/>
    </row>
    <row r="22" spans="1:17">
      <c r="A22" s="182" t="s">
        <v>17</v>
      </c>
      <c r="B22" s="68">
        <f>'Program MW '!D16</f>
        <v>3.0827200000000001</v>
      </c>
      <c r="C22" s="68">
        <v>0</v>
      </c>
      <c r="D22" s="68">
        <v>0</v>
      </c>
      <c r="E22" s="68">
        <v>0</v>
      </c>
      <c r="F22" s="68">
        <v>0</v>
      </c>
      <c r="G22" s="68">
        <v>0</v>
      </c>
      <c r="H22" s="68">
        <v>0</v>
      </c>
      <c r="I22" s="68">
        <v>0</v>
      </c>
      <c r="J22" s="68">
        <v>0</v>
      </c>
      <c r="K22" s="68">
        <v>0</v>
      </c>
      <c r="L22" s="68">
        <v>0</v>
      </c>
      <c r="M22" s="68">
        <v>0</v>
      </c>
      <c r="Q22" s="434"/>
    </row>
    <row r="23" spans="1:17">
      <c r="A23" s="182" t="s">
        <v>27</v>
      </c>
      <c r="B23" s="68">
        <f>'Ex post LI &amp; Eligibility Stats'!B11*1008/1000</f>
        <v>0.16128000000000001</v>
      </c>
      <c r="C23" s="68">
        <v>0</v>
      </c>
      <c r="D23" s="68">
        <v>0</v>
      </c>
      <c r="E23" s="68">
        <v>0</v>
      </c>
      <c r="F23" s="68">
        <v>0</v>
      </c>
      <c r="G23" s="68">
        <v>0</v>
      </c>
      <c r="H23" s="68">
        <v>0</v>
      </c>
      <c r="I23" s="68">
        <v>0</v>
      </c>
      <c r="J23" s="68">
        <v>0</v>
      </c>
      <c r="K23" s="68">
        <v>0</v>
      </c>
      <c r="L23" s="68">
        <v>0</v>
      </c>
      <c r="M23" s="68">
        <v>0</v>
      </c>
    </row>
    <row r="24" spans="1:17">
      <c r="A24" s="182" t="s">
        <v>141</v>
      </c>
      <c r="B24" s="68">
        <f>'Ex post LI &amp; Eligibility Stats'!B11*1489/1000</f>
        <v>0.23824000000000001</v>
      </c>
      <c r="C24" s="68">
        <v>0</v>
      </c>
      <c r="D24" s="68">
        <v>0</v>
      </c>
      <c r="E24" s="68">
        <v>0</v>
      </c>
      <c r="F24" s="68">
        <v>0</v>
      </c>
      <c r="G24" s="68">
        <v>0</v>
      </c>
      <c r="H24" s="68">
        <v>0</v>
      </c>
      <c r="I24" s="68">
        <v>0</v>
      </c>
      <c r="J24" s="68">
        <v>0</v>
      </c>
      <c r="K24" s="68">
        <v>0</v>
      </c>
      <c r="L24" s="68">
        <v>0</v>
      </c>
      <c r="M24" s="68">
        <v>0</v>
      </c>
    </row>
    <row r="25" spans="1:17" s="54" customFormat="1">
      <c r="A25" s="181" t="s">
        <v>112</v>
      </c>
      <c r="B25" s="118">
        <f t="shared" ref="B25:L25" si="4">SUM(B22:B24)</f>
        <v>3.48224</v>
      </c>
      <c r="C25" s="71">
        <f t="shared" si="4"/>
        <v>0</v>
      </c>
      <c r="D25" s="71">
        <f t="shared" si="4"/>
        <v>0</v>
      </c>
      <c r="E25" s="71">
        <f t="shared" si="4"/>
        <v>0</v>
      </c>
      <c r="F25" s="71">
        <f t="shared" si="4"/>
        <v>0</v>
      </c>
      <c r="G25" s="71">
        <f t="shared" si="4"/>
        <v>0</v>
      </c>
      <c r="H25" s="71">
        <f t="shared" si="4"/>
        <v>0</v>
      </c>
      <c r="I25" s="71">
        <f t="shared" si="4"/>
        <v>0</v>
      </c>
      <c r="J25" s="71">
        <f t="shared" si="4"/>
        <v>0</v>
      </c>
      <c r="K25" s="71">
        <f t="shared" si="4"/>
        <v>0</v>
      </c>
      <c r="L25" s="71">
        <f t="shared" si="4"/>
        <v>0</v>
      </c>
      <c r="M25" s="71">
        <f t="shared" ref="M25" si="5">SUM(M22:M24)</f>
        <v>0</v>
      </c>
    </row>
    <row r="26" spans="1:17" s="62" customFormat="1">
      <c r="A26" s="54"/>
      <c r="B26" s="58"/>
      <c r="C26" s="60"/>
      <c r="D26" s="60"/>
      <c r="E26" s="60"/>
      <c r="F26" s="60"/>
      <c r="G26" s="60"/>
    </row>
    <row r="27" spans="1:17" ht="15">
      <c r="A27" s="284" t="s">
        <v>68</v>
      </c>
      <c r="G27" s="56"/>
    </row>
    <row r="28" spans="1:17" ht="15">
      <c r="A28" s="471" t="s">
        <v>144</v>
      </c>
      <c r="G28" s="56"/>
    </row>
    <row r="29" spans="1:17" ht="15">
      <c r="A29" s="472"/>
      <c r="C29" s="56"/>
      <c r="D29" s="56"/>
      <c r="E29" s="56"/>
      <c r="F29" s="56"/>
      <c r="G29" s="56"/>
    </row>
    <row r="30" spans="1:17">
      <c r="C30" s="56"/>
      <c r="D30" s="56"/>
      <c r="E30" s="56"/>
      <c r="F30" s="56"/>
      <c r="G30" s="56"/>
    </row>
    <row r="31" spans="1:17" ht="21.75" customHeight="1">
      <c r="A31" s="106"/>
      <c r="B31" s="179" t="s">
        <v>10</v>
      </c>
      <c r="C31" s="179" t="s">
        <v>28</v>
      </c>
      <c r="D31" s="179" t="s">
        <v>44</v>
      </c>
      <c r="E31" s="179" t="s">
        <v>45</v>
      </c>
      <c r="F31" s="179" t="s">
        <v>137</v>
      </c>
      <c r="G31" s="179" t="s">
        <v>46</v>
      </c>
      <c r="H31" s="179" t="s">
        <v>62</v>
      </c>
      <c r="I31" s="179" t="s">
        <v>118</v>
      </c>
      <c r="J31" s="179" t="s">
        <v>119</v>
      </c>
      <c r="K31" s="179" t="s">
        <v>65</v>
      </c>
      <c r="L31" s="179" t="s">
        <v>120</v>
      </c>
      <c r="M31" s="180" t="s">
        <v>67</v>
      </c>
    </row>
    <row r="32" spans="1:17" ht="51">
      <c r="A32" s="320" t="s">
        <v>138</v>
      </c>
      <c r="B32" s="140" t="s">
        <v>145</v>
      </c>
      <c r="C32" s="140" t="str">
        <f>B32</f>
        <v>Technology Deployment- Commercial MWs</v>
      </c>
      <c r="D32" s="140" t="str">
        <f>B32</f>
        <v>Technology Deployment- Commercial MWs</v>
      </c>
      <c r="E32" s="140" t="str">
        <f t="shared" ref="E32" si="6">C32</f>
        <v>Technology Deployment- Commercial MWs</v>
      </c>
      <c r="F32" s="140" t="str">
        <f t="shared" ref="F32" si="7">D32</f>
        <v>Technology Deployment- Commercial MWs</v>
      </c>
      <c r="G32" s="140" t="str">
        <f t="shared" ref="G32" si="8">E32</f>
        <v>Technology Deployment- Commercial MWs</v>
      </c>
      <c r="H32" s="140" t="str">
        <f t="shared" ref="H32" si="9">F32</f>
        <v>Technology Deployment- Commercial MWs</v>
      </c>
      <c r="I32" s="140" t="s">
        <v>146</v>
      </c>
      <c r="J32" s="140" t="str">
        <f t="shared" ref="J32" si="10">H32</f>
        <v>Technology Deployment- Commercial MWs</v>
      </c>
      <c r="K32" s="140" t="str">
        <f>B32</f>
        <v>Technology Deployment- Commercial MWs</v>
      </c>
      <c r="L32" s="140" t="s">
        <v>146</v>
      </c>
      <c r="M32" s="140" t="str">
        <f t="shared" ref="M32" si="11">K32</f>
        <v>Technology Deployment- Commercial MWs</v>
      </c>
    </row>
    <row r="33" spans="1:13">
      <c r="A33" s="182" t="s">
        <v>20</v>
      </c>
      <c r="B33" s="68">
        <f>'Program MW '!D19</f>
        <v>0.37775999999999998</v>
      </c>
      <c r="C33" s="68">
        <f>'Program MW '!E17</f>
        <v>0</v>
      </c>
      <c r="D33" s="68">
        <f>'Program MW '!F17</f>
        <v>0</v>
      </c>
      <c r="E33" s="68">
        <f>'Program MW '!G17</f>
        <v>0</v>
      </c>
      <c r="F33" s="68">
        <f>'Program MW '!H17</f>
        <v>0</v>
      </c>
      <c r="G33" s="68">
        <f>'Program MW '!I17</f>
        <v>0</v>
      </c>
      <c r="H33" s="68">
        <f>'Program MW '!J17</f>
        <v>0</v>
      </c>
      <c r="I33" s="68">
        <f>'Program MW '!K17</f>
        <v>0</v>
      </c>
      <c r="J33" s="68">
        <f>'Program MW '!L17</f>
        <v>0</v>
      </c>
      <c r="K33" s="68">
        <f>'Program MW '!M17</f>
        <v>0</v>
      </c>
      <c r="L33" s="68">
        <f>'Program MW '!N17</f>
        <v>0</v>
      </c>
      <c r="M33" s="68">
        <f>'Program MW '!O17</f>
        <v>0</v>
      </c>
    </row>
    <row r="34" spans="1:13">
      <c r="A34" s="182" t="s">
        <v>26</v>
      </c>
      <c r="B34" s="68">
        <f>'Ex post LI &amp; Eligibility Stats'!B12*1165/1000</f>
        <v>0.54754999999999998</v>
      </c>
      <c r="C34" s="68">
        <f>'Program MW '!E18</f>
        <v>0</v>
      </c>
      <c r="D34" s="68">
        <f>'Program MW '!F18</f>
        <v>0</v>
      </c>
      <c r="E34" s="68">
        <f>'Program MW '!G18</f>
        <v>0</v>
      </c>
      <c r="F34" s="68">
        <f>'Program MW '!H18</f>
        <v>0</v>
      </c>
      <c r="G34" s="68">
        <f>'Program MW '!I18</f>
        <v>0</v>
      </c>
      <c r="H34" s="68">
        <f>'Program MW '!J18</f>
        <v>0</v>
      </c>
      <c r="I34" s="68">
        <f>'Program MW '!K18</f>
        <v>0</v>
      </c>
      <c r="J34" s="68">
        <f>'Program MW '!L18</f>
        <v>0</v>
      </c>
      <c r="K34" s="68">
        <f>'Program MW '!M18</f>
        <v>0</v>
      </c>
      <c r="L34" s="68">
        <f>'Program MW '!N18</f>
        <v>0</v>
      </c>
      <c r="M34" s="68">
        <f>'Program MW '!O18</f>
        <v>0</v>
      </c>
    </row>
    <row r="35" spans="1:13">
      <c r="A35" s="654" t="s">
        <v>59</v>
      </c>
      <c r="B35" s="612">
        <v>0</v>
      </c>
      <c r="C35" s="612">
        <f>'Program MW '!E19</f>
        <v>0</v>
      </c>
      <c r="D35" s="612">
        <f>'Program MW '!F19</f>
        <v>0</v>
      </c>
      <c r="E35" s="612">
        <f>'Program MW '!G19</f>
        <v>0</v>
      </c>
      <c r="F35" s="612">
        <f>'Program MW '!H19</f>
        <v>0</v>
      </c>
      <c r="G35" s="612">
        <f>'Program MW '!I19</f>
        <v>0</v>
      </c>
      <c r="H35" s="612">
        <f>'Program MW '!J19</f>
        <v>0</v>
      </c>
      <c r="I35" s="612">
        <f>'Program MW '!K19</f>
        <v>0</v>
      </c>
      <c r="J35" s="612">
        <f>'Program MW '!L19</f>
        <v>0</v>
      </c>
      <c r="K35" s="612">
        <f>'Program MW '!M19</f>
        <v>0</v>
      </c>
      <c r="L35" s="612">
        <f>'Program MW '!N19</f>
        <v>0</v>
      </c>
      <c r="M35" s="612">
        <f>'Program MW '!O19</f>
        <v>0</v>
      </c>
    </row>
    <row r="36" spans="1:13">
      <c r="A36" s="182" t="s">
        <v>110</v>
      </c>
      <c r="B36" s="68">
        <f>'Ex post LI &amp; Eligibility Stats'!B12*570/1000</f>
        <v>0.26789999999999997</v>
      </c>
      <c r="C36" s="68">
        <f>'Program MW '!E19</f>
        <v>0</v>
      </c>
      <c r="D36" s="68">
        <f>'Program MW '!F19</f>
        <v>0</v>
      </c>
      <c r="E36" s="68">
        <f>'Program MW '!G19</f>
        <v>0</v>
      </c>
      <c r="F36" s="68">
        <f>'Program MW '!H19</f>
        <v>0</v>
      </c>
      <c r="G36" s="68">
        <f>'Program MW '!I19</f>
        <v>0</v>
      </c>
      <c r="H36" s="68">
        <f>'Program MW '!J19</f>
        <v>0</v>
      </c>
      <c r="I36" s="68">
        <f>'Program MW '!K19</f>
        <v>0</v>
      </c>
      <c r="J36" s="68">
        <f>'Program MW '!L19</f>
        <v>0</v>
      </c>
      <c r="K36" s="68">
        <f>'Program MW '!M19</f>
        <v>0</v>
      </c>
      <c r="L36" s="68">
        <f>'Program MW '!N19</f>
        <v>0</v>
      </c>
      <c r="M36" s="68">
        <f>'Program MW '!O19</f>
        <v>0</v>
      </c>
    </row>
    <row r="37" spans="1:13">
      <c r="A37" s="182" t="s">
        <v>111</v>
      </c>
      <c r="B37" s="68">
        <f>'Program MW '!D20</f>
        <v>0</v>
      </c>
      <c r="C37" s="68">
        <f>'Program MW '!E20</f>
        <v>0</v>
      </c>
      <c r="D37" s="68">
        <f>'Program MW '!F20</f>
        <v>0</v>
      </c>
      <c r="E37" s="68">
        <f>'Program MW '!G20</f>
        <v>0</v>
      </c>
      <c r="F37" s="68">
        <f>'Program MW '!H20</f>
        <v>0</v>
      </c>
      <c r="G37" s="68">
        <f>'Program MW '!I20</f>
        <v>0</v>
      </c>
      <c r="H37" s="68">
        <f>'Program MW '!J20</f>
        <v>0</v>
      </c>
      <c r="I37" s="68">
        <f>'Program MW '!K20</f>
        <v>0</v>
      </c>
      <c r="J37" s="68">
        <f>'Program MW '!L20</f>
        <v>0</v>
      </c>
      <c r="K37" s="68">
        <f>'Program MW '!M20</f>
        <v>0</v>
      </c>
      <c r="L37" s="68">
        <f>'Program MW '!N20</f>
        <v>0</v>
      </c>
      <c r="M37" s="68">
        <f>'Program MW '!O20</f>
        <v>0</v>
      </c>
    </row>
    <row r="38" spans="1:13">
      <c r="A38" s="182" t="s">
        <v>140</v>
      </c>
      <c r="B38" s="68">
        <f>'Program MW '!D21</f>
        <v>0</v>
      </c>
      <c r="C38" s="68">
        <f>'Program MW '!E21</f>
        <v>0</v>
      </c>
      <c r="D38" s="68">
        <f>'Program MW '!F21</f>
        <v>0</v>
      </c>
      <c r="E38" s="68">
        <f>'Program MW '!G21</f>
        <v>0</v>
      </c>
      <c r="F38" s="68">
        <f>'Program MW '!H21</f>
        <v>0</v>
      </c>
      <c r="G38" s="68">
        <f>'Program MW '!I21</f>
        <v>0</v>
      </c>
      <c r="H38" s="68">
        <f>'Program MW '!J21</f>
        <v>0</v>
      </c>
      <c r="I38" s="68">
        <f>'Program MW '!K21</f>
        <v>0</v>
      </c>
      <c r="J38" s="68">
        <f>'Program MW '!L21</f>
        <v>0</v>
      </c>
      <c r="K38" s="68">
        <f>'Program MW '!M21</f>
        <v>0</v>
      </c>
      <c r="L38" s="68">
        <f>'Program MW '!N21</f>
        <v>0</v>
      </c>
      <c r="M38" s="68">
        <f>'Program MW '!O21</f>
        <v>0</v>
      </c>
    </row>
    <row r="39" spans="1:13">
      <c r="A39" s="182" t="s">
        <v>141</v>
      </c>
      <c r="B39" s="68">
        <f>'Program MW '!D23</f>
        <v>3.4007399999999999</v>
      </c>
      <c r="C39" s="68">
        <f>'Program MW '!E23</f>
        <v>0</v>
      </c>
      <c r="D39" s="68">
        <f>'Program MW '!F23</f>
        <v>0</v>
      </c>
      <c r="E39" s="68">
        <f>'Program MW '!G23</f>
        <v>0</v>
      </c>
      <c r="F39" s="68">
        <f>'Program MW '!H23</f>
        <v>0</v>
      </c>
      <c r="G39" s="68">
        <f>'Program MW '!I23</f>
        <v>0</v>
      </c>
      <c r="H39" s="68">
        <f>'Program MW '!J23</f>
        <v>0</v>
      </c>
      <c r="I39" s="68">
        <f>'Program MW '!K23</f>
        <v>0</v>
      </c>
      <c r="J39" s="68">
        <f>'Program MW '!L23</f>
        <v>0</v>
      </c>
      <c r="K39" s="68">
        <f>'Program MW '!M23</f>
        <v>0</v>
      </c>
      <c r="L39" s="68">
        <f>'Program MW '!N23</f>
        <v>0</v>
      </c>
      <c r="M39" s="68">
        <f>'Program MW '!O23</f>
        <v>0</v>
      </c>
    </row>
    <row r="40" spans="1:13" s="54" customFormat="1">
      <c r="A40" s="181" t="s">
        <v>112</v>
      </c>
      <c r="B40" s="118">
        <f t="shared" ref="B40:L40" si="12">SUM(B33:B39)</f>
        <v>4.5939499999999995</v>
      </c>
      <c r="C40" s="118">
        <f t="shared" si="12"/>
        <v>0</v>
      </c>
      <c r="D40" s="118">
        <f t="shared" si="12"/>
        <v>0</v>
      </c>
      <c r="E40" s="118">
        <f t="shared" si="12"/>
        <v>0</v>
      </c>
      <c r="F40" s="118">
        <f t="shared" si="12"/>
        <v>0</v>
      </c>
      <c r="G40" s="118">
        <f t="shared" si="12"/>
        <v>0</v>
      </c>
      <c r="H40" s="118">
        <f t="shared" si="12"/>
        <v>0</v>
      </c>
      <c r="I40" s="118">
        <f t="shared" si="12"/>
        <v>0</v>
      </c>
      <c r="J40" s="118">
        <f t="shared" si="12"/>
        <v>0</v>
      </c>
      <c r="K40" s="118">
        <f t="shared" si="12"/>
        <v>0</v>
      </c>
      <c r="L40" s="118">
        <f t="shared" si="12"/>
        <v>0</v>
      </c>
      <c r="M40" s="118">
        <f t="shared" ref="M40" si="13">SUM(M33:M39)</f>
        <v>0</v>
      </c>
    </row>
    <row r="41" spans="1:13">
      <c r="C41" s="56"/>
      <c r="D41" s="56"/>
      <c r="E41" s="56"/>
      <c r="F41" s="56"/>
      <c r="G41" s="56"/>
    </row>
    <row r="42" spans="1:13" ht="15">
      <c r="A42" s="284" t="s">
        <v>68</v>
      </c>
      <c r="G42" s="56"/>
    </row>
    <row r="43" spans="1:13" ht="14.25">
      <c r="A43" s="671" t="s">
        <v>144</v>
      </c>
      <c r="B43" s="216"/>
      <c r="C43" s="216"/>
      <c r="D43" s="334"/>
      <c r="E43" s="334"/>
      <c r="F43" s="334"/>
      <c r="G43" s="216"/>
      <c r="H43" s="216"/>
      <c r="I43" s="216"/>
      <c r="J43" s="216"/>
      <c r="K43" s="216"/>
    </row>
    <row r="44" spans="1:13" ht="14.25">
      <c r="A44" s="679"/>
      <c r="B44" s="216"/>
      <c r="C44" s="216"/>
      <c r="D44" s="334"/>
      <c r="E44" s="334"/>
      <c r="F44" s="334"/>
      <c r="G44" s="216"/>
      <c r="H44" s="216"/>
      <c r="I44" s="216"/>
      <c r="J44" s="216"/>
      <c r="K44" s="216"/>
    </row>
    <row r="45" spans="1:13" ht="15">
      <c r="A45" s="285" t="s">
        <v>72</v>
      </c>
    </row>
    <row r="47" spans="1:13" ht="15">
      <c r="A47" s="161" t="s">
        <v>56</v>
      </c>
    </row>
    <row r="49" spans="1:1">
      <c r="A49" s="226"/>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4"/>
  <sheetViews>
    <sheetView zoomScaleNormal="100" workbookViewId="0">
      <pane xSplit="1" ySplit="10" topLeftCell="B23" activePane="bottomRight" state="frozen"/>
      <selection pane="topRight" activeCell="B1" sqref="B1"/>
      <selection pane="bottomLeft" activeCell="A11" sqref="A11"/>
      <selection pane="bottomRight" activeCell="A41" sqref="A41"/>
    </sheetView>
  </sheetViews>
  <sheetFormatPr defaultRowHeight="12"/>
  <cols>
    <col min="1" max="1" width="84.28515625" style="309" customWidth="1"/>
    <col min="2" max="3" width="12.7109375" style="309" customWidth="1"/>
    <col min="4" max="4" width="9.42578125" style="309" bestFit="1" customWidth="1"/>
    <col min="5" max="10" width="12.7109375" style="309" customWidth="1"/>
    <col min="11" max="11" width="10.85546875" style="309" customWidth="1"/>
    <col min="12" max="13" width="12.7109375" style="309" customWidth="1"/>
    <col min="14" max="14" width="17.140625" style="309" customWidth="1"/>
    <col min="15" max="15" width="11.85546875" style="309" customWidth="1"/>
    <col min="16" max="16" width="13.28515625" style="309" hidden="1" customWidth="1"/>
    <col min="17" max="17" width="11.7109375" style="309" customWidth="1"/>
    <col min="18" max="256" width="9.140625" style="309"/>
    <col min="257" max="257" width="70" style="309" customWidth="1"/>
    <col min="258" max="269" width="12.7109375" style="309" customWidth="1"/>
    <col min="270" max="270" width="11" style="309" customWidth="1"/>
    <col min="271" max="271" width="0" style="309" hidden="1" customWidth="1"/>
    <col min="272" max="273" width="11.7109375" style="309" customWidth="1"/>
    <col min="274" max="512" width="9.140625" style="309"/>
    <col min="513" max="513" width="70" style="309" customWidth="1"/>
    <col min="514" max="525" width="12.7109375" style="309" customWidth="1"/>
    <col min="526" max="526" width="11" style="309" customWidth="1"/>
    <col min="527" max="527" width="0" style="309" hidden="1" customWidth="1"/>
    <col min="528" max="529" width="11.7109375" style="309" customWidth="1"/>
    <col min="530" max="768" width="9.140625" style="309"/>
    <col min="769" max="769" width="70" style="309" customWidth="1"/>
    <col min="770" max="781" width="12.7109375" style="309" customWidth="1"/>
    <col min="782" max="782" width="11" style="309" customWidth="1"/>
    <col min="783" max="783" width="0" style="309" hidden="1" customWidth="1"/>
    <col min="784" max="785" width="11.7109375" style="309" customWidth="1"/>
    <col min="786" max="1024" width="9.140625" style="309"/>
    <col min="1025" max="1025" width="70" style="309" customWidth="1"/>
    <col min="1026" max="1037" width="12.7109375" style="309" customWidth="1"/>
    <col min="1038" max="1038" width="11" style="309" customWidth="1"/>
    <col min="1039" max="1039" width="0" style="309" hidden="1" customWidth="1"/>
    <col min="1040" max="1041" width="11.7109375" style="309" customWidth="1"/>
    <col min="1042" max="1280" width="9.140625" style="309"/>
    <col min="1281" max="1281" width="70" style="309" customWidth="1"/>
    <col min="1282" max="1293" width="12.7109375" style="309" customWidth="1"/>
    <col min="1294" max="1294" width="11" style="309" customWidth="1"/>
    <col min="1295" max="1295" width="0" style="309" hidden="1" customWidth="1"/>
    <col min="1296" max="1297" width="11.7109375" style="309" customWidth="1"/>
    <col min="1298" max="1536" width="9.140625" style="309"/>
    <col min="1537" max="1537" width="70" style="309" customWidth="1"/>
    <col min="1538" max="1549" width="12.7109375" style="309" customWidth="1"/>
    <col min="1550" max="1550" width="11" style="309" customWidth="1"/>
    <col min="1551" max="1551" width="0" style="309" hidden="1" customWidth="1"/>
    <col min="1552" max="1553" width="11.7109375" style="309" customWidth="1"/>
    <col min="1554" max="1792" width="9.140625" style="309"/>
    <col min="1793" max="1793" width="70" style="309" customWidth="1"/>
    <col min="1794" max="1805" width="12.7109375" style="309" customWidth="1"/>
    <col min="1806" max="1806" width="11" style="309" customWidth="1"/>
    <col min="1807" max="1807" width="0" style="309" hidden="1" customWidth="1"/>
    <col min="1808" max="1809" width="11.7109375" style="309" customWidth="1"/>
    <col min="1810" max="2048" width="9.140625" style="309"/>
    <col min="2049" max="2049" width="70" style="309" customWidth="1"/>
    <col min="2050" max="2061" width="12.7109375" style="309" customWidth="1"/>
    <col min="2062" max="2062" width="11" style="309" customWidth="1"/>
    <col min="2063" max="2063" width="0" style="309" hidden="1" customWidth="1"/>
    <col min="2064" max="2065" width="11.7109375" style="309" customWidth="1"/>
    <col min="2066" max="2304" width="9.140625" style="309"/>
    <col min="2305" max="2305" width="70" style="309" customWidth="1"/>
    <col min="2306" max="2317" width="12.7109375" style="309" customWidth="1"/>
    <col min="2318" max="2318" width="11" style="309" customWidth="1"/>
    <col min="2319" max="2319" width="0" style="309" hidden="1" customWidth="1"/>
    <col min="2320" max="2321" width="11.7109375" style="309" customWidth="1"/>
    <col min="2322" max="2560" width="9.140625" style="309"/>
    <col min="2561" max="2561" width="70" style="309" customWidth="1"/>
    <col min="2562" max="2573" width="12.7109375" style="309" customWidth="1"/>
    <col min="2574" max="2574" width="11" style="309" customWidth="1"/>
    <col min="2575" max="2575" width="0" style="309" hidden="1" customWidth="1"/>
    <col min="2576" max="2577" width="11.7109375" style="309" customWidth="1"/>
    <col min="2578" max="2816" width="9.140625" style="309"/>
    <col min="2817" max="2817" width="70" style="309" customWidth="1"/>
    <col min="2818" max="2829" width="12.7109375" style="309" customWidth="1"/>
    <col min="2830" max="2830" width="11" style="309" customWidth="1"/>
    <col min="2831" max="2831" width="0" style="309" hidden="1" customWidth="1"/>
    <col min="2832" max="2833" width="11.7109375" style="309" customWidth="1"/>
    <col min="2834" max="3072" width="9.140625" style="309"/>
    <col min="3073" max="3073" width="70" style="309" customWidth="1"/>
    <col min="3074" max="3085" width="12.7109375" style="309" customWidth="1"/>
    <col min="3086" max="3086" width="11" style="309" customWidth="1"/>
    <col min="3087" max="3087" width="0" style="309" hidden="1" customWidth="1"/>
    <col min="3088" max="3089" width="11.7109375" style="309" customWidth="1"/>
    <col min="3090" max="3328" width="9.140625" style="309"/>
    <col min="3329" max="3329" width="70" style="309" customWidth="1"/>
    <col min="3330" max="3341" width="12.7109375" style="309" customWidth="1"/>
    <col min="3342" max="3342" width="11" style="309" customWidth="1"/>
    <col min="3343" max="3343" width="0" style="309" hidden="1" customWidth="1"/>
    <col min="3344" max="3345" width="11.7109375" style="309" customWidth="1"/>
    <col min="3346" max="3584" width="9.140625" style="309"/>
    <col min="3585" max="3585" width="70" style="309" customWidth="1"/>
    <col min="3586" max="3597" width="12.7109375" style="309" customWidth="1"/>
    <col min="3598" max="3598" width="11" style="309" customWidth="1"/>
    <col min="3599" max="3599" width="0" style="309" hidden="1" customWidth="1"/>
    <col min="3600" max="3601" width="11.7109375" style="309" customWidth="1"/>
    <col min="3602" max="3840" width="9.140625" style="309"/>
    <col min="3841" max="3841" width="70" style="309" customWidth="1"/>
    <col min="3842" max="3853" width="12.7109375" style="309" customWidth="1"/>
    <col min="3854" max="3854" width="11" style="309" customWidth="1"/>
    <col min="3855" max="3855" width="0" style="309" hidden="1" customWidth="1"/>
    <col min="3856" max="3857" width="11.7109375" style="309" customWidth="1"/>
    <col min="3858" max="4096" width="9.140625" style="309"/>
    <col min="4097" max="4097" width="70" style="309" customWidth="1"/>
    <col min="4098" max="4109" width="12.7109375" style="309" customWidth="1"/>
    <col min="4110" max="4110" width="11" style="309" customWidth="1"/>
    <col min="4111" max="4111" width="0" style="309" hidden="1" customWidth="1"/>
    <col min="4112" max="4113" width="11.7109375" style="309" customWidth="1"/>
    <col min="4114" max="4352" width="9.140625" style="309"/>
    <col min="4353" max="4353" width="70" style="309" customWidth="1"/>
    <col min="4354" max="4365" width="12.7109375" style="309" customWidth="1"/>
    <col min="4366" max="4366" width="11" style="309" customWidth="1"/>
    <col min="4367" max="4367" width="0" style="309" hidden="1" customWidth="1"/>
    <col min="4368" max="4369" width="11.7109375" style="309" customWidth="1"/>
    <col min="4370" max="4608" width="9.140625" style="309"/>
    <col min="4609" max="4609" width="70" style="309" customWidth="1"/>
    <col min="4610" max="4621" width="12.7109375" style="309" customWidth="1"/>
    <col min="4622" max="4622" width="11" style="309" customWidth="1"/>
    <col min="4623" max="4623" width="0" style="309" hidden="1" customWidth="1"/>
    <col min="4624" max="4625" width="11.7109375" style="309" customWidth="1"/>
    <col min="4626" max="4864" width="9.140625" style="309"/>
    <col min="4865" max="4865" width="70" style="309" customWidth="1"/>
    <col min="4866" max="4877" width="12.7109375" style="309" customWidth="1"/>
    <col min="4878" max="4878" width="11" style="309" customWidth="1"/>
    <col min="4879" max="4879" width="0" style="309" hidden="1" customWidth="1"/>
    <col min="4880" max="4881" width="11.7109375" style="309" customWidth="1"/>
    <col min="4882" max="5120" width="9.140625" style="309"/>
    <col min="5121" max="5121" width="70" style="309" customWidth="1"/>
    <col min="5122" max="5133" width="12.7109375" style="309" customWidth="1"/>
    <col min="5134" max="5134" width="11" style="309" customWidth="1"/>
    <col min="5135" max="5135" width="0" style="309" hidden="1" customWidth="1"/>
    <col min="5136" max="5137" width="11.7109375" style="309" customWidth="1"/>
    <col min="5138" max="5376" width="9.140625" style="309"/>
    <col min="5377" max="5377" width="70" style="309" customWidth="1"/>
    <col min="5378" max="5389" width="12.7109375" style="309" customWidth="1"/>
    <col min="5390" max="5390" width="11" style="309" customWidth="1"/>
    <col min="5391" max="5391" width="0" style="309" hidden="1" customWidth="1"/>
    <col min="5392" max="5393" width="11.7109375" style="309" customWidth="1"/>
    <col min="5394" max="5632" width="9.140625" style="309"/>
    <col min="5633" max="5633" width="70" style="309" customWidth="1"/>
    <col min="5634" max="5645" width="12.7109375" style="309" customWidth="1"/>
    <col min="5646" max="5646" width="11" style="309" customWidth="1"/>
    <col min="5647" max="5647" width="0" style="309" hidden="1" customWidth="1"/>
    <col min="5648" max="5649" width="11.7109375" style="309" customWidth="1"/>
    <col min="5650" max="5888" width="9.140625" style="309"/>
    <col min="5889" max="5889" width="70" style="309" customWidth="1"/>
    <col min="5890" max="5901" width="12.7109375" style="309" customWidth="1"/>
    <col min="5902" max="5902" width="11" style="309" customWidth="1"/>
    <col min="5903" max="5903" width="0" style="309" hidden="1" customWidth="1"/>
    <col min="5904" max="5905" width="11.7109375" style="309" customWidth="1"/>
    <col min="5906" max="6144" width="9.140625" style="309"/>
    <col min="6145" max="6145" width="70" style="309" customWidth="1"/>
    <col min="6146" max="6157" width="12.7109375" style="309" customWidth="1"/>
    <col min="6158" max="6158" width="11" style="309" customWidth="1"/>
    <col min="6159" max="6159" width="0" style="309" hidden="1" customWidth="1"/>
    <col min="6160" max="6161" width="11.7109375" style="309" customWidth="1"/>
    <col min="6162" max="6400" width="9.140625" style="309"/>
    <col min="6401" max="6401" width="70" style="309" customWidth="1"/>
    <col min="6402" max="6413" width="12.7109375" style="309" customWidth="1"/>
    <col min="6414" max="6414" width="11" style="309" customWidth="1"/>
    <col min="6415" max="6415" width="0" style="309" hidden="1" customWidth="1"/>
    <col min="6416" max="6417" width="11.7109375" style="309" customWidth="1"/>
    <col min="6418" max="6656" width="9.140625" style="309"/>
    <col min="6657" max="6657" width="70" style="309" customWidth="1"/>
    <col min="6658" max="6669" width="12.7109375" style="309" customWidth="1"/>
    <col min="6670" max="6670" width="11" style="309" customWidth="1"/>
    <col min="6671" max="6671" width="0" style="309" hidden="1" customWidth="1"/>
    <col min="6672" max="6673" width="11.7109375" style="309" customWidth="1"/>
    <col min="6674" max="6912" width="9.140625" style="309"/>
    <col min="6913" max="6913" width="70" style="309" customWidth="1"/>
    <col min="6914" max="6925" width="12.7109375" style="309" customWidth="1"/>
    <col min="6926" max="6926" width="11" style="309" customWidth="1"/>
    <col min="6927" max="6927" width="0" style="309" hidden="1" customWidth="1"/>
    <col min="6928" max="6929" width="11.7109375" style="309" customWidth="1"/>
    <col min="6930" max="7168" width="9.140625" style="309"/>
    <col min="7169" max="7169" width="70" style="309" customWidth="1"/>
    <col min="7170" max="7181" width="12.7109375" style="309" customWidth="1"/>
    <col min="7182" max="7182" width="11" style="309" customWidth="1"/>
    <col min="7183" max="7183" width="0" style="309" hidden="1" customWidth="1"/>
    <col min="7184" max="7185" width="11.7109375" style="309" customWidth="1"/>
    <col min="7186" max="7424" width="9.140625" style="309"/>
    <col min="7425" max="7425" width="70" style="309" customWidth="1"/>
    <col min="7426" max="7437" width="12.7109375" style="309" customWidth="1"/>
    <col min="7438" max="7438" width="11" style="309" customWidth="1"/>
    <col min="7439" max="7439" width="0" style="309" hidden="1" customWidth="1"/>
    <col min="7440" max="7441" width="11.7109375" style="309" customWidth="1"/>
    <col min="7442" max="7680" width="9.140625" style="309"/>
    <col min="7681" max="7681" width="70" style="309" customWidth="1"/>
    <col min="7682" max="7693" width="12.7109375" style="309" customWidth="1"/>
    <col min="7694" max="7694" width="11" style="309" customWidth="1"/>
    <col min="7695" max="7695" width="0" style="309" hidden="1" customWidth="1"/>
    <col min="7696" max="7697" width="11.7109375" style="309" customWidth="1"/>
    <col min="7698" max="7936" width="9.140625" style="309"/>
    <col min="7937" max="7937" width="70" style="309" customWidth="1"/>
    <col min="7938" max="7949" width="12.7109375" style="309" customWidth="1"/>
    <col min="7950" max="7950" width="11" style="309" customWidth="1"/>
    <col min="7951" max="7951" width="0" style="309" hidden="1" customWidth="1"/>
    <col min="7952" max="7953" width="11.7109375" style="309" customWidth="1"/>
    <col min="7954" max="8192" width="9.140625" style="309"/>
    <col min="8193" max="8193" width="70" style="309" customWidth="1"/>
    <col min="8194" max="8205" width="12.7109375" style="309" customWidth="1"/>
    <col min="8206" max="8206" width="11" style="309" customWidth="1"/>
    <col min="8207" max="8207" width="0" style="309" hidden="1" customWidth="1"/>
    <col min="8208" max="8209" width="11.7109375" style="309" customWidth="1"/>
    <col min="8210" max="8448" width="9.140625" style="309"/>
    <col min="8449" max="8449" width="70" style="309" customWidth="1"/>
    <col min="8450" max="8461" width="12.7109375" style="309" customWidth="1"/>
    <col min="8462" max="8462" width="11" style="309" customWidth="1"/>
    <col min="8463" max="8463" width="0" style="309" hidden="1" customWidth="1"/>
    <col min="8464" max="8465" width="11.7109375" style="309" customWidth="1"/>
    <col min="8466" max="8704" width="9.140625" style="309"/>
    <col min="8705" max="8705" width="70" style="309" customWidth="1"/>
    <col min="8706" max="8717" width="12.7109375" style="309" customWidth="1"/>
    <col min="8718" max="8718" width="11" style="309" customWidth="1"/>
    <col min="8719" max="8719" width="0" style="309" hidden="1" customWidth="1"/>
    <col min="8720" max="8721" width="11.7109375" style="309" customWidth="1"/>
    <col min="8722" max="8960" width="9.140625" style="309"/>
    <col min="8961" max="8961" width="70" style="309" customWidth="1"/>
    <col min="8962" max="8973" width="12.7109375" style="309" customWidth="1"/>
    <col min="8974" max="8974" width="11" style="309" customWidth="1"/>
    <col min="8975" max="8975" width="0" style="309" hidden="1" customWidth="1"/>
    <col min="8976" max="8977" width="11.7109375" style="309" customWidth="1"/>
    <col min="8978" max="9216" width="9.140625" style="309"/>
    <col min="9217" max="9217" width="70" style="309" customWidth="1"/>
    <col min="9218" max="9229" width="12.7109375" style="309" customWidth="1"/>
    <col min="9230" max="9230" width="11" style="309" customWidth="1"/>
    <col min="9231" max="9231" width="0" style="309" hidden="1" customWidth="1"/>
    <col min="9232" max="9233" width="11.7109375" style="309" customWidth="1"/>
    <col min="9234" max="9472" width="9.140625" style="309"/>
    <col min="9473" max="9473" width="70" style="309" customWidth="1"/>
    <col min="9474" max="9485" width="12.7109375" style="309" customWidth="1"/>
    <col min="9486" max="9486" width="11" style="309" customWidth="1"/>
    <col min="9487" max="9487" width="0" style="309" hidden="1" customWidth="1"/>
    <col min="9488" max="9489" width="11.7109375" style="309" customWidth="1"/>
    <col min="9490" max="9728" width="9.140625" style="309"/>
    <col min="9729" max="9729" width="70" style="309" customWidth="1"/>
    <col min="9730" max="9741" width="12.7109375" style="309" customWidth="1"/>
    <col min="9742" max="9742" width="11" style="309" customWidth="1"/>
    <col min="9743" max="9743" width="0" style="309" hidden="1" customWidth="1"/>
    <col min="9744" max="9745" width="11.7109375" style="309" customWidth="1"/>
    <col min="9746" max="9984" width="9.140625" style="309"/>
    <col min="9985" max="9985" width="70" style="309" customWidth="1"/>
    <col min="9986" max="9997" width="12.7109375" style="309" customWidth="1"/>
    <col min="9998" max="9998" width="11" style="309" customWidth="1"/>
    <col min="9999" max="9999" width="0" style="309" hidden="1" customWidth="1"/>
    <col min="10000" max="10001" width="11.7109375" style="309" customWidth="1"/>
    <col min="10002" max="10240" width="9.140625" style="309"/>
    <col min="10241" max="10241" width="70" style="309" customWidth="1"/>
    <col min="10242" max="10253" width="12.7109375" style="309" customWidth="1"/>
    <col min="10254" max="10254" width="11" style="309" customWidth="1"/>
    <col min="10255" max="10255" width="0" style="309" hidden="1" customWidth="1"/>
    <col min="10256" max="10257" width="11.7109375" style="309" customWidth="1"/>
    <col min="10258" max="10496" width="9.140625" style="309"/>
    <col min="10497" max="10497" width="70" style="309" customWidth="1"/>
    <col min="10498" max="10509" width="12.7109375" style="309" customWidth="1"/>
    <col min="10510" max="10510" width="11" style="309" customWidth="1"/>
    <col min="10511" max="10511" width="0" style="309" hidden="1" customWidth="1"/>
    <col min="10512" max="10513" width="11.7109375" style="309" customWidth="1"/>
    <col min="10514" max="10752" width="9.140625" style="309"/>
    <col min="10753" max="10753" width="70" style="309" customWidth="1"/>
    <col min="10754" max="10765" width="12.7109375" style="309" customWidth="1"/>
    <col min="10766" max="10766" width="11" style="309" customWidth="1"/>
    <col min="10767" max="10767" width="0" style="309" hidden="1" customWidth="1"/>
    <col min="10768" max="10769" width="11.7109375" style="309" customWidth="1"/>
    <col min="10770" max="11008" width="9.140625" style="309"/>
    <col min="11009" max="11009" width="70" style="309" customWidth="1"/>
    <col min="11010" max="11021" width="12.7109375" style="309" customWidth="1"/>
    <col min="11022" max="11022" width="11" style="309" customWidth="1"/>
    <col min="11023" max="11023" width="0" style="309" hidden="1" customWidth="1"/>
    <col min="11024" max="11025" width="11.7109375" style="309" customWidth="1"/>
    <col min="11026" max="11264" width="9.140625" style="309"/>
    <col min="11265" max="11265" width="70" style="309" customWidth="1"/>
    <col min="11266" max="11277" width="12.7109375" style="309" customWidth="1"/>
    <col min="11278" max="11278" width="11" style="309" customWidth="1"/>
    <col min="11279" max="11279" width="0" style="309" hidden="1" customWidth="1"/>
    <col min="11280" max="11281" width="11.7109375" style="309" customWidth="1"/>
    <col min="11282" max="11520" width="9.140625" style="309"/>
    <col min="11521" max="11521" width="70" style="309" customWidth="1"/>
    <col min="11522" max="11533" width="12.7109375" style="309" customWidth="1"/>
    <col min="11534" max="11534" width="11" style="309" customWidth="1"/>
    <col min="11535" max="11535" width="0" style="309" hidden="1" customWidth="1"/>
    <col min="11536" max="11537" width="11.7109375" style="309" customWidth="1"/>
    <col min="11538" max="11776" width="9.140625" style="309"/>
    <col min="11777" max="11777" width="70" style="309" customWidth="1"/>
    <col min="11778" max="11789" width="12.7109375" style="309" customWidth="1"/>
    <col min="11790" max="11790" width="11" style="309" customWidth="1"/>
    <col min="11791" max="11791" width="0" style="309" hidden="1" customWidth="1"/>
    <col min="11792" max="11793" width="11.7109375" style="309" customWidth="1"/>
    <col min="11794" max="12032" width="9.140625" style="309"/>
    <col min="12033" max="12033" width="70" style="309" customWidth="1"/>
    <col min="12034" max="12045" width="12.7109375" style="309" customWidth="1"/>
    <col min="12046" max="12046" width="11" style="309" customWidth="1"/>
    <col min="12047" max="12047" width="0" style="309" hidden="1" customWidth="1"/>
    <col min="12048" max="12049" width="11.7109375" style="309" customWidth="1"/>
    <col min="12050" max="12288" width="9.140625" style="309"/>
    <col min="12289" max="12289" width="70" style="309" customWidth="1"/>
    <col min="12290" max="12301" width="12.7109375" style="309" customWidth="1"/>
    <col min="12302" max="12302" width="11" style="309" customWidth="1"/>
    <col min="12303" max="12303" width="0" style="309" hidden="1" customWidth="1"/>
    <col min="12304" max="12305" width="11.7109375" style="309" customWidth="1"/>
    <col min="12306" max="12544" width="9.140625" style="309"/>
    <col min="12545" max="12545" width="70" style="309" customWidth="1"/>
    <col min="12546" max="12557" width="12.7109375" style="309" customWidth="1"/>
    <col min="12558" max="12558" width="11" style="309" customWidth="1"/>
    <col min="12559" max="12559" width="0" style="309" hidden="1" customWidth="1"/>
    <col min="12560" max="12561" width="11.7109375" style="309" customWidth="1"/>
    <col min="12562" max="12800" width="9.140625" style="309"/>
    <col min="12801" max="12801" width="70" style="309" customWidth="1"/>
    <col min="12802" max="12813" width="12.7109375" style="309" customWidth="1"/>
    <col min="12814" max="12814" width="11" style="309" customWidth="1"/>
    <col min="12815" max="12815" width="0" style="309" hidden="1" customWidth="1"/>
    <col min="12816" max="12817" width="11.7109375" style="309" customWidth="1"/>
    <col min="12818" max="13056" width="9.140625" style="309"/>
    <col min="13057" max="13057" width="70" style="309" customWidth="1"/>
    <col min="13058" max="13069" width="12.7109375" style="309" customWidth="1"/>
    <col min="13070" max="13070" width="11" style="309" customWidth="1"/>
    <col min="13071" max="13071" width="0" style="309" hidden="1" customWidth="1"/>
    <col min="13072" max="13073" width="11.7109375" style="309" customWidth="1"/>
    <col min="13074" max="13312" width="9.140625" style="309"/>
    <col min="13313" max="13313" width="70" style="309" customWidth="1"/>
    <col min="13314" max="13325" width="12.7109375" style="309" customWidth="1"/>
    <col min="13326" max="13326" width="11" style="309" customWidth="1"/>
    <col min="13327" max="13327" width="0" style="309" hidden="1" customWidth="1"/>
    <col min="13328" max="13329" width="11.7109375" style="309" customWidth="1"/>
    <col min="13330" max="13568" width="9.140625" style="309"/>
    <col min="13569" max="13569" width="70" style="309" customWidth="1"/>
    <col min="13570" max="13581" width="12.7109375" style="309" customWidth="1"/>
    <col min="13582" max="13582" width="11" style="309" customWidth="1"/>
    <col min="13583" max="13583" width="0" style="309" hidden="1" customWidth="1"/>
    <col min="13584" max="13585" width="11.7109375" style="309" customWidth="1"/>
    <col min="13586" max="13824" width="9.140625" style="309"/>
    <col min="13825" max="13825" width="70" style="309" customWidth="1"/>
    <col min="13826" max="13837" width="12.7109375" style="309" customWidth="1"/>
    <col min="13838" max="13838" width="11" style="309" customWidth="1"/>
    <col min="13839" max="13839" width="0" style="309" hidden="1" customWidth="1"/>
    <col min="13840" max="13841" width="11.7109375" style="309" customWidth="1"/>
    <col min="13842" max="14080" width="9.140625" style="309"/>
    <col min="14081" max="14081" width="70" style="309" customWidth="1"/>
    <col min="14082" max="14093" width="12.7109375" style="309" customWidth="1"/>
    <col min="14094" max="14094" width="11" style="309" customWidth="1"/>
    <col min="14095" max="14095" width="0" style="309" hidden="1" customWidth="1"/>
    <col min="14096" max="14097" width="11.7109375" style="309" customWidth="1"/>
    <col min="14098" max="14336" width="9.140625" style="309"/>
    <col min="14337" max="14337" width="70" style="309" customWidth="1"/>
    <col min="14338" max="14349" width="12.7109375" style="309" customWidth="1"/>
    <col min="14350" max="14350" width="11" style="309" customWidth="1"/>
    <col min="14351" max="14351" width="0" style="309" hidden="1" customWidth="1"/>
    <col min="14352" max="14353" width="11.7109375" style="309" customWidth="1"/>
    <col min="14354" max="14592" width="9.140625" style="309"/>
    <col min="14593" max="14593" width="70" style="309" customWidth="1"/>
    <col min="14594" max="14605" width="12.7109375" style="309" customWidth="1"/>
    <col min="14606" max="14606" width="11" style="309" customWidth="1"/>
    <col min="14607" max="14607" width="0" style="309" hidden="1" customWidth="1"/>
    <col min="14608" max="14609" width="11.7109375" style="309" customWidth="1"/>
    <col min="14610" max="14848" width="9.140625" style="309"/>
    <col min="14849" max="14849" width="70" style="309" customWidth="1"/>
    <col min="14850" max="14861" width="12.7109375" style="309" customWidth="1"/>
    <col min="14862" max="14862" width="11" style="309" customWidth="1"/>
    <col min="14863" max="14863" width="0" style="309" hidden="1" customWidth="1"/>
    <col min="14864" max="14865" width="11.7109375" style="309" customWidth="1"/>
    <col min="14866" max="15104" width="9.140625" style="309"/>
    <col min="15105" max="15105" width="70" style="309" customWidth="1"/>
    <col min="15106" max="15117" width="12.7109375" style="309" customWidth="1"/>
    <col min="15118" max="15118" width="11" style="309" customWidth="1"/>
    <col min="15119" max="15119" width="0" style="309" hidden="1" customWidth="1"/>
    <col min="15120" max="15121" width="11.7109375" style="309" customWidth="1"/>
    <col min="15122" max="15360" width="9.140625" style="309"/>
    <col min="15361" max="15361" width="70" style="309" customWidth="1"/>
    <col min="15362" max="15373" width="12.7109375" style="309" customWidth="1"/>
    <col min="15374" max="15374" width="11" style="309" customWidth="1"/>
    <col min="15375" max="15375" width="0" style="309" hidden="1" customWidth="1"/>
    <col min="15376" max="15377" width="11.7109375" style="309" customWidth="1"/>
    <col min="15378" max="15616" width="9.140625" style="309"/>
    <col min="15617" max="15617" width="70" style="309" customWidth="1"/>
    <col min="15618" max="15629" width="12.7109375" style="309" customWidth="1"/>
    <col min="15630" max="15630" width="11" style="309" customWidth="1"/>
    <col min="15631" max="15631" width="0" style="309" hidden="1" customWidth="1"/>
    <col min="15632" max="15633" width="11.7109375" style="309" customWidth="1"/>
    <col min="15634" max="15872" width="9.140625" style="309"/>
    <col min="15873" max="15873" width="70" style="309" customWidth="1"/>
    <col min="15874" max="15885" width="12.7109375" style="309" customWidth="1"/>
    <col min="15886" max="15886" width="11" style="309" customWidth="1"/>
    <col min="15887" max="15887" width="0" style="309" hidden="1" customWidth="1"/>
    <col min="15888" max="15889" width="11.7109375" style="309" customWidth="1"/>
    <col min="15890" max="16128" width="9.140625" style="309"/>
    <col min="16129" max="16129" width="70" style="309" customWidth="1"/>
    <col min="16130" max="16141" width="12.7109375" style="309" customWidth="1"/>
    <col min="16142" max="16142" width="11" style="309" customWidth="1"/>
    <col min="16143" max="16143" width="0" style="309" hidden="1" customWidth="1"/>
    <col min="16144" max="16145" width="11.7109375" style="309" customWidth="1"/>
    <col min="16146" max="16384" width="9.140625" style="309"/>
  </cols>
  <sheetData>
    <row r="1" spans="1:17" ht="13.5" customHeight="1">
      <c r="L1" s="310"/>
      <c r="O1" s="310"/>
      <c r="P1" s="310"/>
      <c r="Q1" s="310"/>
    </row>
    <row r="2" spans="1:17" ht="13.5" customHeight="1">
      <c r="C2" s="483" t="s">
        <v>39</v>
      </c>
      <c r="L2" s="310"/>
      <c r="O2" s="310"/>
      <c r="P2" s="310"/>
      <c r="Q2" s="310"/>
    </row>
    <row r="3" spans="1:17" ht="13.5" customHeight="1">
      <c r="C3" s="483" t="s">
        <v>147</v>
      </c>
      <c r="F3" s="311"/>
      <c r="G3" s="311"/>
      <c r="H3" s="311"/>
      <c r="I3" s="311"/>
      <c r="L3" s="310"/>
      <c r="O3" s="310"/>
      <c r="P3" s="310"/>
      <c r="Q3" s="310"/>
    </row>
    <row r="4" spans="1:17" ht="13.5" customHeight="1">
      <c r="B4" s="311"/>
      <c r="C4" s="484" t="str">
        <f>'Program MW '!H3</f>
        <v>January 2020</v>
      </c>
      <c r="D4" s="311"/>
      <c r="L4" s="310"/>
      <c r="O4" s="310"/>
      <c r="P4" s="310"/>
      <c r="Q4" s="310"/>
    </row>
    <row r="5" spans="1:17" ht="13.5" customHeight="1">
      <c r="L5" s="310"/>
      <c r="O5" s="310"/>
      <c r="P5" s="310"/>
      <c r="Q5" s="310"/>
    </row>
    <row r="6" spans="1:17" s="323" customFormat="1" ht="13.5" customHeight="1"/>
    <row r="7" spans="1:17" s="323" customFormat="1" ht="18" customHeight="1">
      <c r="A7" s="369"/>
      <c r="B7" s="485" t="s">
        <v>148</v>
      </c>
      <c r="C7" s="369"/>
      <c r="D7" s="369"/>
      <c r="E7" s="369"/>
      <c r="F7" s="369"/>
      <c r="G7" s="369"/>
      <c r="H7" s="369"/>
      <c r="I7" s="369"/>
      <c r="J7" s="369"/>
      <c r="K7" s="369"/>
      <c r="L7" s="369"/>
      <c r="M7" s="370"/>
      <c r="N7" s="722" t="s">
        <v>149</v>
      </c>
      <c r="O7" s="720" t="s">
        <v>150</v>
      </c>
      <c r="P7" s="324"/>
      <c r="Q7" s="722" t="s">
        <v>151</v>
      </c>
    </row>
    <row r="8" spans="1:17" s="323" customFormat="1" ht="39" customHeight="1">
      <c r="A8" s="466"/>
      <c r="B8" s="487" t="s">
        <v>42</v>
      </c>
      <c r="C8" s="488" t="s">
        <v>43</v>
      </c>
      <c r="D8" s="488" t="s">
        <v>44</v>
      </c>
      <c r="E8" s="488" t="s">
        <v>45</v>
      </c>
      <c r="F8" s="488" t="s">
        <v>31</v>
      </c>
      <c r="G8" s="488" t="s">
        <v>46</v>
      </c>
      <c r="H8" s="488" t="s">
        <v>62</v>
      </c>
      <c r="I8" s="488" t="s">
        <v>118</v>
      </c>
      <c r="J8" s="488" t="s">
        <v>119</v>
      </c>
      <c r="K8" s="565" t="s">
        <v>152</v>
      </c>
      <c r="L8" s="488" t="s">
        <v>120</v>
      </c>
      <c r="M8" s="489" t="s">
        <v>67</v>
      </c>
      <c r="N8" s="723"/>
      <c r="O8" s="721"/>
      <c r="P8" s="325" t="s">
        <v>153</v>
      </c>
      <c r="Q8" s="723"/>
    </row>
    <row r="9" spans="1:17" s="323" customFormat="1" ht="15.75">
      <c r="A9" s="511" t="s">
        <v>154</v>
      </c>
      <c r="B9" s="464"/>
      <c r="N9" s="384"/>
      <c r="O9" s="326"/>
      <c r="P9" s="326"/>
      <c r="Q9" s="335"/>
    </row>
    <row r="10" spans="1:17" s="323" customFormat="1" ht="12.75">
      <c r="A10" s="507" t="s">
        <v>155</v>
      </c>
      <c r="B10" s="464"/>
      <c r="C10" s="464"/>
      <c r="D10" s="464"/>
      <c r="E10" s="464"/>
      <c r="F10" s="464"/>
      <c r="G10" s="464"/>
      <c r="H10" s="464"/>
      <c r="I10" s="464"/>
      <c r="J10" s="464"/>
      <c r="K10" s="464"/>
      <c r="L10" s="464"/>
      <c r="M10" s="464"/>
      <c r="N10" s="385"/>
      <c r="O10" s="463"/>
      <c r="P10" s="327"/>
      <c r="Q10" s="336"/>
    </row>
    <row r="11" spans="1:17" s="323" customFormat="1" ht="12.75">
      <c r="A11" s="508" t="s">
        <v>156</v>
      </c>
      <c r="B11" s="493">
        <v>14260.61</v>
      </c>
      <c r="C11" s="493">
        <v>0</v>
      </c>
      <c r="D11" s="493">
        <v>0</v>
      </c>
      <c r="E11" s="493">
        <v>0</v>
      </c>
      <c r="F11" s="493">
        <v>0</v>
      </c>
      <c r="G11" s="493">
        <v>0</v>
      </c>
      <c r="H11" s="493">
        <v>0</v>
      </c>
      <c r="I11" s="493">
        <v>0</v>
      </c>
      <c r="J11" s="493">
        <v>0</v>
      </c>
      <c r="K11" s="493">
        <v>0</v>
      </c>
      <c r="L11" s="493">
        <v>0</v>
      </c>
      <c r="M11" s="494">
        <v>0</v>
      </c>
      <c r="N11" s="502">
        <f>SUM(B11:M11)</f>
        <v>14260.61</v>
      </c>
      <c r="O11" s="580">
        <f>1138457.01+N11</f>
        <v>1152717.6200000001</v>
      </c>
      <c r="P11" s="563"/>
      <c r="Q11" s="506">
        <f>857842+424005+425005</f>
        <v>1706852</v>
      </c>
    </row>
    <row r="12" spans="1:17" s="323" customFormat="1" ht="12.75">
      <c r="A12" s="508" t="s">
        <v>157</v>
      </c>
      <c r="B12" s="493">
        <v>0</v>
      </c>
      <c r="C12" s="493">
        <v>0</v>
      </c>
      <c r="D12" s="493">
        <v>0</v>
      </c>
      <c r="E12" s="493">
        <v>0</v>
      </c>
      <c r="F12" s="493">
        <v>0</v>
      </c>
      <c r="G12" s="493">
        <v>0</v>
      </c>
      <c r="H12" s="493">
        <v>0</v>
      </c>
      <c r="I12" s="493">
        <v>0</v>
      </c>
      <c r="J12" s="493">
        <v>0</v>
      </c>
      <c r="K12" s="493">
        <v>0</v>
      </c>
      <c r="L12" s="493">
        <v>0</v>
      </c>
      <c r="M12" s="494">
        <v>0</v>
      </c>
      <c r="N12" s="503">
        <f t="shared" ref="N12:N22" si="0">SUM(B12:M12)</f>
        <v>0</v>
      </c>
      <c r="O12" s="494">
        <f>17287.65+N12</f>
        <v>17287.650000000001</v>
      </c>
      <c r="P12" s="505"/>
      <c r="Q12" s="506">
        <v>35302</v>
      </c>
    </row>
    <row r="13" spans="1:17" s="323" customFormat="1" ht="12.75">
      <c r="A13" s="508" t="s">
        <v>158</v>
      </c>
      <c r="B13" s="493">
        <v>0</v>
      </c>
      <c r="C13" s="493">
        <v>0</v>
      </c>
      <c r="D13" s="493">
        <v>0</v>
      </c>
      <c r="E13" s="493">
        <v>0</v>
      </c>
      <c r="F13" s="493">
        <v>0</v>
      </c>
      <c r="G13" s="493">
        <v>0</v>
      </c>
      <c r="H13" s="493">
        <v>0</v>
      </c>
      <c r="I13" s="493">
        <v>0</v>
      </c>
      <c r="J13" s="493">
        <v>0</v>
      </c>
      <c r="K13" s="493">
        <v>0</v>
      </c>
      <c r="L13" s="493">
        <v>0</v>
      </c>
      <c r="M13" s="494">
        <v>0</v>
      </c>
      <c r="N13" s="503">
        <f t="shared" si="0"/>
        <v>0</v>
      </c>
      <c r="O13" s="494">
        <f>0+N13</f>
        <v>0</v>
      </c>
      <c r="P13" s="501"/>
      <c r="Q13" s="494">
        <v>1000</v>
      </c>
    </row>
    <row r="14" spans="1:17" s="323" customFormat="1" ht="12.75">
      <c r="A14" s="508" t="s">
        <v>159</v>
      </c>
      <c r="B14" s="493">
        <v>0</v>
      </c>
      <c r="C14" s="493">
        <v>0</v>
      </c>
      <c r="D14" s="493">
        <v>0</v>
      </c>
      <c r="E14" s="493">
        <v>0</v>
      </c>
      <c r="F14" s="493">
        <v>0</v>
      </c>
      <c r="G14" s="493">
        <v>0</v>
      </c>
      <c r="H14" s="493">
        <v>0</v>
      </c>
      <c r="I14" s="493">
        <v>0</v>
      </c>
      <c r="J14" s="493">
        <v>0</v>
      </c>
      <c r="K14" s="493">
        <v>0</v>
      </c>
      <c r="L14" s="493">
        <v>0</v>
      </c>
      <c r="M14" s="494">
        <v>0</v>
      </c>
      <c r="N14" s="503">
        <f t="shared" si="0"/>
        <v>0</v>
      </c>
      <c r="O14" s="494">
        <f>21554.35+N14</f>
        <v>21554.35</v>
      </c>
      <c r="P14" s="501"/>
      <c r="Q14" s="494">
        <v>78149</v>
      </c>
    </row>
    <row r="15" spans="1:17" s="323" customFormat="1" ht="12.75">
      <c r="A15" s="508" t="s">
        <v>160</v>
      </c>
      <c r="B15" s="493">
        <v>0</v>
      </c>
      <c r="C15" s="493">
        <v>0</v>
      </c>
      <c r="D15" s="493">
        <v>0</v>
      </c>
      <c r="E15" s="493">
        <v>0</v>
      </c>
      <c r="F15" s="493">
        <v>0</v>
      </c>
      <c r="G15" s="493">
        <v>0</v>
      </c>
      <c r="H15" s="493">
        <v>0</v>
      </c>
      <c r="I15" s="493">
        <v>0</v>
      </c>
      <c r="J15" s="493">
        <v>0</v>
      </c>
      <c r="K15" s="493">
        <v>0</v>
      </c>
      <c r="L15" s="493">
        <v>0</v>
      </c>
      <c r="M15" s="494">
        <v>0</v>
      </c>
      <c r="N15" s="503">
        <f t="shared" si="0"/>
        <v>0</v>
      </c>
      <c r="O15" s="494">
        <f>93148.79+N15</f>
        <v>93148.79</v>
      </c>
      <c r="P15" s="505"/>
      <c r="Q15" s="506">
        <f>606299/2</f>
        <v>303149.5</v>
      </c>
    </row>
    <row r="16" spans="1:17" s="323" customFormat="1" ht="12.75">
      <c r="A16" s="508" t="s">
        <v>161</v>
      </c>
      <c r="B16" s="493">
        <v>0</v>
      </c>
      <c r="C16" s="493">
        <v>0</v>
      </c>
      <c r="D16" s="493">
        <v>0</v>
      </c>
      <c r="E16" s="493">
        <v>0</v>
      </c>
      <c r="F16" s="493">
        <v>0</v>
      </c>
      <c r="G16" s="493">
        <v>0</v>
      </c>
      <c r="H16" s="493">
        <v>0</v>
      </c>
      <c r="I16" s="493">
        <v>0</v>
      </c>
      <c r="J16" s="493">
        <v>0</v>
      </c>
      <c r="K16" s="493">
        <v>0</v>
      </c>
      <c r="L16" s="493">
        <v>0</v>
      </c>
      <c r="M16" s="494">
        <v>0</v>
      </c>
      <c r="N16" s="503">
        <f t="shared" si="0"/>
        <v>0</v>
      </c>
      <c r="O16" s="494">
        <f>149696.59+N16</f>
        <v>149696.59</v>
      </c>
      <c r="P16" s="501"/>
      <c r="Q16" s="494">
        <v>303150</v>
      </c>
    </row>
    <row r="17" spans="1:122" s="323" customFormat="1" ht="12.75">
      <c r="A17" s="508" t="s">
        <v>162</v>
      </c>
      <c r="B17" s="493">
        <v>0</v>
      </c>
      <c r="C17" s="493">
        <v>0</v>
      </c>
      <c r="D17" s="493">
        <v>0</v>
      </c>
      <c r="E17" s="493">
        <v>0</v>
      </c>
      <c r="F17" s="493">
        <v>0</v>
      </c>
      <c r="G17" s="493">
        <v>0</v>
      </c>
      <c r="H17" s="493">
        <v>0</v>
      </c>
      <c r="I17" s="493">
        <v>0</v>
      </c>
      <c r="J17" s="493">
        <v>0</v>
      </c>
      <c r="K17" s="493">
        <v>0</v>
      </c>
      <c r="L17" s="493">
        <v>0</v>
      </c>
      <c r="M17" s="494">
        <v>0</v>
      </c>
      <c r="N17" s="503">
        <f t="shared" si="0"/>
        <v>0</v>
      </c>
      <c r="O17" s="494">
        <f>228510.82+N17</f>
        <v>228510.82</v>
      </c>
      <c r="P17" s="501"/>
      <c r="Q17" s="494">
        <v>643043</v>
      </c>
    </row>
    <row r="18" spans="1:122" s="323" customFormat="1" ht="12.75">
      <c r="A18" s="509" t="s">
        <v>163</v>
      </c>
      <c r="B18" s="493">
        <v>0</v>
      </c>
      <c r="C18" s="493">
        <v>0</v>
      </c>
      <c r="D18" s="493">
        <v>0</v>
      </c>
      <c r="E18" s="493">
        <v>0</v>
      </c>
      <c r="F18" s="493">
        <v>0</v>
      </c>
      <c r="G18" s="493">
        <v>0</v>
      </c>
      <c r="H18" s="493">
        <v>0</v>
      </c>
      <c r="I18" s="493">
        <v>0</v>
      </c>
      <c r="J18" s="493">
        <v>0</v>
      </c>
      <c r="K18" s="493">
        <v>0</v>
      </c>
      <c r="L18" s="493">
        <v>0</v>
      </c>
      <c r="M18" s="494">
        <v>0</v>
      </c>
      <c r="N18" s="503">
        <f t="shared" si="0"/>
        <v>0</v>
      </c>
      <c r="O18" s="494">
        <f>113137.94+N18</f>
        <v>113137.94</v>
      </c>
      <c r="P18" s="501"/>
      <c r="Q18" s="494">
        <v>383701</v>
      </c>
    </row>
    <row r="19" spans="1:122" s="323" customFormat="1" ht="12.75">
      <c r="A19" s="509" t="s">
        <v>125</v>
      </c>
      <c r="B19" s="493">
        <v>385</v>
      </c>
      <c r="C19" s="493">
        <v>0</v>
      </c>
      <c r="D19" s="493">
        <v>0</v>
      </c>
      <c r="E19" s="493">
        <v>0</v>
      </c>
      <c r="F19" s="493">
        <v>0</v>
      </c>
      <c r="G19" s="493">
        <v>0</v>
      </c>
      <c r="H19" s="493">
        <v>0</v>
      </c>
      <c r="I19" s="493">
        <v>0</v>
      </c>
      <c r="J19" s="493">
        <v>0</v>
      </c>
      <c r="K19" s="493">
        <v>0</v>
      </c>
      <c r="L19" s="493">
        <v>0</v>
      </c>
      <c r="M19" s="494">
        <v>0</v>
      </c>
      <c r="N19" s="503">
        <f t="shared" si="0"/>
        <v>385</v>
      </c>
      <c r="O19" s="494">
        <f>439827.35+N19</f>
        <v>440212.35</v>
      </c>
      <c r="P19" s="501"/>
      <c r="Q19" s="494">
        <v>1102357</v>
      </c>
    </row>
    <row r="20" spans="1:122" s="323" customFormat="1" ht="12.75">
      <c r="A20" s="509" t="s">
        <v>164</v>
      </c>
      <c r="B20" s="493">
        <v>5222.442</v>
      </c>
      <c r="C20" s="493">
        <v>0</v>
      </c>
      <c r="D20" s="493">
        <v>0</v>
      </c>
      <c r="E20" s="493">
        <v>0</v>
      </c>
      <c r="F20" s="493">
        <v>0</v>
      </c>
      <c r="G20" s="493">
        <v>0</v>
      </c>
      <c r="H20" s="493">
        <v>0</v>
      </c>
      <c r="I20" s="493">
        <v>0</v>
      </c>
      <c r="J20" s="493">
        <v>0</v>
      </c>
      <c r="K20" s="493">
        <v>0</v>
      </c>
      <c r="L20" s="493">
        <v>0</v>
      </c>
      <c r="M20" s="494">
        <v>0</v>
      </c>
      <c r="N20" s="503">
        <f t="shared" si="0"/>
        <v>5222.442</v>
      </c>
      <c r="O20" s="494">
        <f>665097.58+N20</f>
        <v>670320.022</v>
      </c>
      <c r="P20" s="501"/>
      <c r="Q20" s="494">
        <v>1653537</v>
      </c>
    </row>
    <row r="21" spans="1:122" s="323" customFormat="1" ht="12.75">
      <c r="A21" s="509" t="s">
        <v>165</v>
      </c>
      <c r="B21" s="493">
        <v>0</v>
      </c>
      <c r="C21" s="493">
        <v>0</v>
      </c>
      <c r="D21" s="493">
        <v>0</v>
      </c>
      <c r="E21" s="493">
        <v>0</v>
      </c>
      <c r="F21" s="493">
        <v>0</v>
      </c>
      <c r="G21" s="493">
        <v>0</v>
      </c>
      <c r="H21" s="493">
        <v>0</v>
      </c>
      <c r="I21" s="493">
        <v>0</v>
      </c>
      <c r="J21" s="493">
        <v>0</v>
      </c>
      <c r="K21" s="493">
        <v>0</v>
      </c>
      <c r="L21" s="493">
        <v>0</v>
      </c>
      <c r="M21" s="494">
        <v>0</v>
      </c>
      <c r="N21" s="503">
        <f t="shared" si="0"/>
        <v>0</v>
      </c>
      <c r="O21" s="494">
        <f>2328.72+N21</f>
        <v>2328.7199999999998</v>
      </c>
      <c r="P21" s="501"/>
      <c r="Q21" s="494">
        <v>0</v>
      </c>
    </row>
    <row r="22" spans="1:122" s="323" customFormat="1" ht="12.75">
      <c r="A22" s="510" t="s">
        <v>166</v>
      </c>
      <c r="B22" s="493">
        <v>0</v>
      </c>
      <c r="C22" s="493">
        <v>0</v>
      </c>
      <c r="D22" s="493">
        <v>0</v>
      </c>
      <c r="E22" s="493">
        <v>0</v>
      </c>
      <c r="F22" s="493">
        <v>0</v>
      </c>
      <c r="G22" s="493">
        <v>0</v>
      </c>
      <c r="H22" s="493">
        <v>0</v>
      </c>
      <c r="I22" s="493">
        <v>0</v>
      </c>
      <c r="J22" s="493">
        <v>0</v>
      </c>
      <c r="K22" s="493">
        <v>0</v>
      </c>
      <c r="L22" s="493">
        <v>0</v>
      </c>
      <c r="M22" s="494">
        <v>0</v>
      </c>
      <c r="N22" s="503">
        <f t="shared" si="0"/>
        <v>0</v>
      </c>
      <c r="O22" s="494">
        <f>530.37+N22</f>
        <v>530.37</v>
      </c>
      <c r="P22" s="501"/>
      <c r="Q22" s="494">
        <v>50000</v>
      </c>
    </row>
    <row r="23" spans="1:122" s="328" customFormat="1" ht="15.75">
      <c r="A23" s="512" t="s">
        <v>167</v>
      </c>
      <c r="B23" s="498">
        <f t="shared" ref="B23:O23" si="1">SUM(B11:B22)</f>
        <v>19868.052</v>
      </c>
      <c r="C23" s="498">
        <f t="shared" si="1"/>
        <v>0</v>
      </c>
      <c r="D23" s="498">
        <f t="shared" si="1"/>
        <v>0</v>
      </c>
      <c r="E23" s="498">
        <f t="shared" si="1"/>
        <v>0</v>
      </c>
      <c r="F23" s="498">
        <f t="shared" si="1"/>
        <v>0</v>
      </c>
      <c r="G23" s="498">
        <f t="shared" si="1"/>
        <v>0</v>
      </c>
      <c r="H23" s="498">
        <f t="shared" si="1"/>
        <v>0</v>
      </c>
      <c r="I23" s="498">
        <f t="shared" si="1"/>
        <v>0</v>
      </c>
      <c r="J23" s="498">
        <f t="shared" si="1"/>
        <v>0</v>
      </c>
      <c r="K23" s="498">
        <f t="shared" si="1"/>
        <v>0</v>
      </c>
      <c r="L23" s="498">
        <f t="shared" si="1"/>
        <v>0</v>
      </c>
      <c r="M23" s="498">
        <f t="shared" si="1"/>
        <v>0</v>
      </c>
      <c r="N23" s="581">
        <f t="shared" si="1"/>
        <v>19868.052</v>
      </c>
      <c r="O23" s="581">
        <f t="shared" si="1"/>
        <v>2889445.2220000005</v>
      </c>
      <c r="P23" s="366"/>
      <c r="Q23" s="581">
        <f>SUM(Q11:Q22)</f>
        <v>6260240.5</v>
      </c>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c r="BU23" s="323"/>
      <c r="BV23" s="323"/>
      <c r="BW23" s="323"/>
      <c r="BX23" s="323"/>
      <c r="BY23" s="323"/>
      <c r="BZ23" s="323"/>
      <c r="CA23" s="323"/>
      <c r="CB23" s="323"/>
      <c r="CC23" s="323"/>
      <c r="CD23" s="323"/>
      <c r="CE23" s="323"/>
      <c r="CF23" s="323"/>
      <c r="CG23" s="323"/>
      <c r="CH23" s="323"/>
      <c r="CI23" s="323"/>
      <c r="CJ23" s="323"/>
      <c r="CK23" s="323"/>
      <c r="CL23" s="323"/>
      <c r="CM23" s="323"/>
      <c r="CN23" s="323"/>
      <c r="CO23" s="323"/>
      <c r="CP23" s="323"/>
      <c r="CQ23" s="323"/>
      <c r="CR23" s="323"/>
      <c r="CS23" s="323"/>
      <c r="CT23" s="323"/>
      <c r="CU23" s="323"/>
      <c r="CV23" s="323"/>
      <c r="CW23" s="323"/>
      <c r="CX23" s="323"/>
      <c r="CY23" s="323"/>
      <c r="CZ23" s="323"/>
      <c r="DA23" s="323"/>
      <c r="DB23" s="323"/>
      <c r="DC23" s="323"/>
      <c r="DD23" s="323"/>
      <c r="DE23" s="323"/>
      <c r="DF23" s="323"/>
      <c r="DG23" s="323"/>
      <c r="DH23" s="323"/>
      <c r="DI23" s="323"/>
      <c r="DJ23" s="323"/>
      <c r="DK23" s="323"/>
      <c r="DL23" s="323"/>
      <c r="DM23" s="323"/>
      <c r="DN23" s="323"/>
      <c r="DO23" s="323"/>
      <c r="DP23" s="323"/>
      <c r="DQ23" s="323"/>
      <c r="DR23" s="323"/>
    </row>
    <row r="24" spans="1:122" s="323" customFormat="1" ht="12.75">
      <c r="A24" s="339"/>
      <c r="B24" s="382"/>
      <c r="C24" s="326"/>
      <c r="D24" s="326"/>
      <c r="E24" s="326"/>
      <c r="F24" s="326"/>
      <c r="G24" s="326"/>
      <c r="H24" s="326"/>
      <c r="I24" s="326"/>
      <c r="J24" s="326"/>
      <c r="K24" s="326"/>
      <c r="L24" s="326"/>
      <c r="M24" s="326"/>
      <c r="N24" s="326"/>
      <c r="O24" s="326"/>
      <c r="P24" s="326"/>
      <c r="Q24" s="335"/>
    </row>
    <row r="25" spans="1:122" s="323" customFormat="1" ht="15.75">
      <c r="A25" s="513" t="s">
        <v>168</v>
      </c>
      <c r="B25" s="382"/>
      <c r="C25" s="463"/>
      <c r="D25" s="463"/>
      <c r="E25" s="463"/>
      <c r="F25" s="463"/>
      <c r="G25" s="463"/>
      <c r="H25" s="463"/>
      <c r="I25" s="463"/>
      <c r="J25" s="463"/>
      <c r="K25" s="463"/>
      <c r="L25" s="463"/>
      <c r="M25" s="463"/>
      <c r="N25" s="327"/>
      <c r="O25" s="463"/>
      <c r="P25" s="326"/>
      <c r="Q25" s="336"/>
    </row>
    <row r="26" spans="1:122" s="323" customFormat="1" ht="12.75">
      <c r="A26" s="509" t="s">
        <v>169</v>
      </c>
      <c r="B26" s="490">
        <v>0</v>
      </c>
      <c r="C26" s="486">
        <v>0</v>
      </c>
      <c r="D26" s="486">
        <v>0</v>
      </c>
      <c r="E26" s="486">
        <v>0</v>
      </c>
      <c r="F26" s="486">
        <v>0</v>
      </c>
      <c r="G26" s="486">
        <v>0</v>
      </c>
      <c r="H26" s="486">
        <v>0</v>
      </c>
      <c r="I26" s="486">
        <v>0</v>
      </c>
      <c r="J26" s="486">
        <v>0</v>
      </c>
      <c r="K26" s="486">
        <v>0</v>
      </c>
      <c r="L26" s="486">
        <v>0</v>
      </c>
      <c r="M26" s="492">
        <v>0</v>
      </c>
      <c r="N26" s="494">
        <f t="shared" ref="N26:N30" si="2">SUM(B26:M26)</f>
        <v>0</v>
      </c>
      <c r="O26" s="492">
        <f>0+N26</f>
        <v>0</v>
      </c>
      <c r="P26" s="326"/>
      <c r="Q26" s="335"/>
    </row>
    <row r="27" spans="1:122" s="323" customFormat="1" ht="12.75">
      <c r="A27" s="508" t="s">
        <v>170</v>
      </c>
      <c r="B27" s="491">
        <v>400.64</v>
      </c>
      <c r="C27" s="493">
        <v>0</v>
      </c>
      <c r="D27" s="493">
        <v>0</v>
      </c>
      <c r="E27" s="493">
        <v>0</v>
      </c>
      <c r="F27" s="493">
        <v>0</v>
      </c>
      <c r="G27" s="493">
        <v>0</v>
      </c>
      <c r="H27" s="493">
        <v>0</v>
      </c>
      <c r="I27" s="493">
        <v>0</v>
      </c>
      <c r="J27" s="493">
        <v>0</v>
      </c>
      <c r="K27" s="493">
        <v>0</v>
      </c>
      <c r="L27" s="493">
        <v>0</v>
      </c>
      <c r="M27" s="494">
        <v>0</v>
      </c>
      <c r="N27" s="494">
        <f t="shared" si="2"/>
        <v>400.64</v>
      </c>
      <c r="O27" s="494">
        <f>67339.6+N27</f>
        <v>67740.240000000005</v>
      </c>
      <c r="P27" s="326"/>
      <c r="Q27" s="335"/>
    </row>
    <row r="28" spans="1:122" s="323" customFormat="1" ht="12.75">
      <c r="A28" s="508" t="s">
        <v>171</v>
      </c>
      <c r="B28" s="491">
        <v>14249.57</v>
      </c>
      <c r="C28" s="493">
        <v>0</v>
      </c>
      <c r="D28" s="493">
        <v>0</v>
      </c>
      <c r="E28" s="493">
        <v>0</v>
      </c>
      <c r="F28" s="493">
        <v>0</v>
      </c>
      <c r="G28" s="493">
        <v>0</v>
      </c>
      <c r="H28" s="493">
        <v>0</v>
      </c>
      <c r="I28" s="493">
        <v>0</v>
      </c>
      <c r="J28" s="493">
        <v>0</v>
      </c>
      <c r="K28" s="493">
        <v>0</v>
      </c>
      <c r="L28" s="493">
        <v>0</v>
      </c>
      <c r="M28" s="494">
        <v>0</v>
      </c>
      <c r="N28" s="494">
        <f t="shared" si="2"/>
        <v>14249.57</v>
      </c>
      <c r="O28" s="494">
        <f>692251.7+N28</f>
        <v>706501.2699999999</v>
      </c>
      <c r="Q28" s="337"/>
    </row>
    <row r="29" spans="1:122" s="323" customFormat="1" ht="12.75">
      <c r="A29" s="508" t="s">
        <v>172</v>
      </c>
      <c r="B29" s="491">
        <v>0</v>
      </c>
      <c r="C29" s="493">
        <v>0</v>
      </c>
      <c r="D29" s="493">
        <v>0</v>
      </c>
      <c r="E29" s="493">
        <v>0</v>
      </c>
      <c r="F29" s="493">
        <v>0</v>
      </c>
      <c r="G29" s="493">
        <v>0</v>
      </c>
      <c r="H29" s="493">
        <v>0</v>
      </c>
      <c r="I29" s="493">
        <v>0</v>
      </c>
      <c r="J29" s="493">
        <v>0</v>
      </c>
      <c r="K29" s="493">
        <v>0</v>
      </c>
      <c r="L29" s="493">
        <v>0</v>
      </c>
      <c r="M29" s="494">
        <v>0</v>
      </c>
      <c r="N29" s="494">
        <f t="shared" si="2"/>
        <v>0</v>
      </c>
      <c r="O29" s="494">
        <f>2387765.94+N29</f>
        <v>2387765.94</v>
      </c>
      <c r="Q29" s="337"/>
    </row>
    <row r="30" spans="1:122" s="323" customFormat="1" ht="12.75">
      <c r="A30" s="508" t="s">
        <v>173</v>
      </c>
      <c r="B30" s="495">
        <v>5217.82</v>
      </c>
      <c r="C30" s="496">
        <v>0</v>
      </c>
      <c r="D30" s="496">
        <v>0</v>
      </c>
      <c r="E30" s="496">
        <v>0</v>
      </c>
      <c r="F30" s="496">
        <v>0</v>
      </c>
      <c r="G30" s="496">
        <v>0</v>
      </c>
      <c r="H30" s="496">
        <v>0</v>
      </c>
      <c r="I30" s="496">
        <v>0</v>
      </c>
      <c r="J30" s="496">
        <v>0</v>
      </c>
      <c r="K30" s="496">
        <v>0</v>
      </c>
      <c r="L30" s="496">
        <v>0</v>
      </c>
      <c r="M30" s="497">
        <v>0</v>
      </c>
      <c r="N30" s="494">
        <f t="shared" si="2"/>
        <v>5217.82</v>
      </c>
      <c r="O30" s="497">
        <f>184247.8+N30</f>
        <v>189465.62</v>
      </c>
      <c r="Q30" s="337"/>
    </row>
    <row r="31" spans="1:122" s="323" customFormat="1" ht="15.75">
      <c r="A31" s="512" t="s">
        <v>174</v>
      </c>
      <c r="B31" s="499">
        <f>SUM(B26:B30)</f>
        <v>19868.03</v>
      </c>
      <c r="C31" s="500">
        <f t="shared" ref="C31:M31" si="3">SUM(C26:C30)</f>
        <v>0</v>
      </c>
      <c r="D31" s="500">
        <f t="shared" si="3"/>
        <v>0</v>
      </c>
      <c r="E31" s="500">
        <f t="shared" si="3"/>
        <v>0</v>
      </c>
      <c r="F31" s="500">
        <f t="shared" si="3"/>
        <v>0</v>
      </c>
      <c r="G31" s="500">
        <f t="shared" si="3"/>
        <v>0</v>
      </c>
      <c r="H31" s="500">
        <f t="shared" si="3"/>
        <v>0</v>
      </c>
      <c r="I31" s="500">
        <f t="shared" si="3"/>
        <v>0</v>
      </c>
      <c r="J31" s="500">
        <f t="shared" si="3"/>
        <v>0</v>
      </c>
      <c r="K31" s="500">
        <f t="shared" si="3"/>
        <v>0</v>
      </c>
      <c r="L31" s="500">
        <f t="shared" si="3"/>
        <v>0</v>
      </c>
      <c r="M31" s="500">
        <f t="shared" si="3"/>
        <v>0</v>
      </c>
      <c r="N31" s="498">
        <f>SUM(N26:N30)</f>
        <v>19868.03</v>
      </c>
      <c r="O31" s="500">
        <f>SUM(O26:O30)</f>
        <v>3351473.07</v>
      </c>
      <c r="P31" s="367"/>
      <c r="Q31" s="368"/>
    </row>
    <row r="32" spans="1:122" s="323" customFormat="1" ht="12.75">
      <c r="A32" s="340"/>
      <c r="B32" s="383"/>
      <c r="C32" s="329"/>
      <c r="D32" s="329"/>
      <c r="E32" s="329"/>
      <c r="F32" s="329"/>
      <c r="G32" s="329"/>
      <c r="H32" s="329"/>
      <c r="I32" s="329"/>
      <c r="J32" s="329"/>
      <c r="K32" s="329"/>
      <c r="L32" s="329"/>
      <c r="M32" s="329"/>
      <c r="N32" s="329"/>
      <c r="O32" s="329"/>
      <c r="P32" s="330"/>
      <c r="Q32" s="338"/>
    </row>
    <row r="33" spans="1:17" s="323" customFormat="1" ht="15.75">
      <c r="A33" s="513" t="s">
        <v>175</v>
      </c>
      <c r="B33" s="382"/>
      <c r="C33" s="463"/>
      <c r="D33" s="463"/>
      <c r="E33" s="463"/>
      <c r="F33" s="463"/>
      <c r="G33" s="463"/>
      <c r="H33" s="463"/>
      <c r="I33" s="463"/>
      <c r="J33" s="463"/>
      <c r="K33" s="463"/>
      <c r="L33" s="463"/>
      <c r="M33" s="463"/>
      <c r="N33" s="327"/>
      <c r="O33" s="327"/>
      <c r="P33" s="326"/>
      <c r="Q33" s="336"/>
    </row>
    <row r="34" spans="1:17" s="323" customFormat="1" ht="14.25">
      <c r="A34" s="508" t="s">
        <v>176</v>
      </c>
      <c r="B34" s="490">
        <v>0</v>
      </c>
      <c r="C34" s="486">
        <v>0</v>
      </c>
      <c r="D34" s="486">
        <v>0</v>
      </c>
      <c r="E34" s="486">
        <v>0</v>
      </c>
      <c r="F34" s="486">
        <v>0</v>
      </c>
      <c r="G34" s="486">
        <v>0</v>
      </c>
      <c r="H34" s="486">
        <v>0</v>
      </c>
      <c r="I34" s="486">
        <v>0</v>
      </c>
      <c r="J34" s="486">
        <v>0</v>
      </c>
      <c r="K34" s="486">
        <v>0</v>
      </c>
      <c r="L34" s="486">
        <v>0</v>
      </c>
      <c r="M34" s="492">
        <v>0</v>
      </c>
      <c r="N34" s="494">
        <f t="shared" ref="N34:N37" si="4">SUM(B34:M34)</f>
        <v>0</v>
      </c>
      <c r="O34" s="502">
        <f>0+N34</f>
        <v>0</v>
      </c>
      <c r="P34" s="326"/>
      <c r="Q34" s="335"/>
    </row>
    <row r="35" spans="1:17" s="323" customFormat="1" ht="12.75">
      <c r="A35" s="509" t="s">
        <v>177</v>
      </c>
      <c r="B35" s="491">
        <v>4699.5</v>
      </c>
      <c r="C35" s="493">
        <v>0</v>
      </c>
      <c r="D35" s="493">
        <v>0</v>
      </c>
      <c r="E35" s="493">
        <v>0</v>
      </c>
      <c r="F35" s="493">
        <v>0</v>
      </c>
      <c r="G35" s="493">
        <v>0</v>
      </c>
      <c r="H35" s="493">
        <v>0</v>
      </c>
      <c r="I35" s="493">
        <v>0</v>
      </c>
      <c r="J35" s="493">
        <v>0</v>
      </c>
      <c r="K35" s="493">
        <v>0</v>
      </c>
      <c r="L35" s="493">
        <v>0</v>
      </c>
      <c r="M35" s="494">
        <v>0</v>
      </c>
      <c r="N35" s="494">
        <f t="shared" si="4"/>
        <v>4699.5</v>
      </c>
      <c r="O35" s="503">
        <f>930036.22+N35</f>
        <v>934735.72</v>
      </c>
      <c r="P35" s="326"/>
      <c r="Q35" s="335"/>
    </row>
    <row r="36" spans="1:17" s="323" customFormat="1" ht="14.25" customHeight="1">
      <c r="A36" s="508" t="s">
        <v>178</v>
      </c>
      <c r="B36" s="491">
        <v>6925.72</v>
      </c>
      <c r="C36" s="493">
        <v>0</v>
      </c>
      <c r="D36" s="493">
        <v>0</v>
      </c>
      <c r="E36" s="493">
        <v>0</v>
      </c>
      <c r="F36" s="493">
        <v>0</v>
      </c>
      <c r="G36" s="493">
        <v>0</v>
      </c>
      <c r="H36" s="493">
        <v>0</v>
      </c>
      <c r="I36" s="493">
        <v>0</v>
      </c>
      <c r="J36" s="493">
        <v>0</v>
      </c>
      <c r="K36" s="493">
        <v>0</v>
      </c>
      <c r="L36" s="493">
        <v>0</v>
      </c>
      <c r="M36" s="494">
        <v>0</v>
      </c>
      <c r="N36" s="494">
        <f t="shared" si="4"/>
        <v>6925.72</v>
      </c>
      <c r="O36" s="503">
        <f>699035.88+N36</f>
        <v>705961.6</v>
      </c>
      <c r="P36" s="326"/>
      <c r="Q36" s="335"/>
    </row>
    <row r="37" spans="1:17" s="323" customFormat="1" ht="12.75">
      <c r="A37" s="508" t="s">
        <v>179</v>
      </c>
      <c r="B37" s="495">
        <v>8242.81</v>
      </c>
      <c r="C37" s="496">
        <v>0</v>
      </c>
      <c r="D37" s="496">
        <v>0</v>
      </c>
      <c r="E37" s="496">
        <v>0</v>
      </c>
      <c r="F37" s="496">
        <v>0</v>
      </c>
      <c r="G37" s="496">
        <v>0</v>
      </c>
      <c r="H37" s="496">
        <v>0</v>
      </c>
      <c r="I37" s="496">
        <v>0</v>
      </c>
      <c r="J37" s="496">
        <v>0</v>
      </c>
      <c r="K37" s="496">
        <v>0</v>
      </c>
      <c r="L37" s="496">
        <v>0</v>
      </c>
      <c r="M37" s="497">
        <v>0</v>
      </c>
      <c r="N37" s="494">
        <f t="shared" si="4"/>
        <v>8242.81</v>
      </c>
      <c r="O37" s="504">
        <f>1240507.24+N37</f>
        <v>1248750.05</v>
      </c>
      <c r="Q37" s="337"/>
    </row>
    <row r="38" spans="1:17" s="323" customFormat="1" ht="15.75">
      <c r="A38" s="512" t="s">
        <v>180</v>
      </c>
      <c r="B38" s="499">
        <f t="shared" ref="B38:M38" si="5">SUM(B34:B37)</f>
        <v>19868.03</v>
      </c>
      <c r="C38" s="500">
        <f t="shared" si="5"/>
        <v>0</v>
      </c>
      <c r="D38" s="500">
        <f>SUM(D34:D37)</f>
        <v>0</v>
      </c>
      <c r="E38" s="500">
        <f t="shared" si="5"/>
        <v>0</v>
      </c>
      <c r="F38" s="500">
        <f t="shared" si="5"/>
        <v>0</v>
      </c>
      <c r="G38" s="500">
        <f t="shared" si="5"/>
        <v>0</v>
      </c>
      <c r="H38" s="500">
        <f t="shared" si="5"/>
        <v>0</v>
      </c>
      <c r="I38" s="500">
        <f t="shared" si="5"/>
        <v>0</v>
      </c>
      <c r="J38" s="500">
        <f t="shared" si="5"/>
        <v>0</v>
      </c>
      <c r="K38" s="500">
        <f t="shared" si="5"/>
        <v>0</v>
      </c>
      <c r="L38" s="500">
        <f t="shared" si="5"/>
        <v>0</v>
      </c>
      <c r="M38" s="500">
        <f t="shared" si="5"/>
        <v>0</v>
      </c>
      <c r="N38" s="498">
        <f>SUM(N34:N37)</f>
        <v>19868.03</v>
      </c>
      <c r="O38" s="498">
        <f>SUM(O34:O37)</f>
        <v>2889447.37</v>
      </c>
      <c r="P38" s="366">
        <f>SUM(P34:P37)</f>
        <v>0</v>
      </c>
      <c r="Q38" s="368"/>
    </row>
    <row r="39" spans="1:17" s="323" customFormat="1" ht="12.75">
      <c r="B39" s="326"/>
      <c r="C39" s="326"/>
      <c r="D39" s="326"/>
      <c r="E39" s="326"/>
      <c r="F39" s="326"/>
      <c r="G39" s="326"/>
      <c r="H39" s="326"/>
      <c r="I39" s="326"/>
      <c r="J39" s="326"/>
      <c r="K39" s="326"/>
      <c r="L39" s="326"/>
      <c r="M39" s="326"/>
      <c r="O39" s="326"/>
      <c r="P39" s="326"/>
      <c r="Q39" s="326"/>
    </row>
    <row r="40" spans="1:17" s="323" customFormat="1" ht="15">
      <c r="A40" s="680" t="s">
        <v>68</v>
      </c>
      <c r="B40" s="332"/>
      <c r="C40" s="332"/>
      <c r="D40" s="332"/>
      <c r="E40" s="332"/>
      <c r="F40" s="332"/>
      <c r="G40" s="332"/>
      <c r="H40" s="332"/>
      <c r="I40" s="332"/>
      <c r="J40" s="332"/>
      <c r="K40" s="332"/>
      <c r="L40" s="332"/>
      <c r="M40" s="332"/>
      <c r="N40" s="331"/>
      <c r="O40" s="332"/>
      <c r="P40" s="332"/>
      <c r="Q40" s="332"/>
    </row>
    <row r="41" spans="1:17" ht="16.5">
      <c r="A41" s="386" t="s">
        <v>181</v>
      </c>
      <c r="D41" s="307"/>
      <c r="E41" s="228"/>
      <c r="F41" s="307"/>
      <c r="N41" s="386"/>
    </row>
    <row r="42" spans="1:17" ht="14.25">
      <c r="A42" s="386"/>
      <c r="D42" s="307"/>
      <c r="E42" s="228"/>
      <c r="F42" s="307"/>
      <c r="N42" s="386"/>
    </row>
    <row r="43" spans="1:17" ht="16.5">
      <c r="A43" s="262" t="s">
        <v>72</v>
      </c>
      <c r="D43" s="307"/>
      <c r="E43" s="228"/>
      <c r="F43" s="307"/>
      <c r="N43" s="416"/>
    </row>
    <row r="44" spans="1:17">
      <c r="E44" s="312"/>
      <c r="F44" s="307"/>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A21" sqref="A21"/>
    </sheetView>
  </sheetViews>
  <sheetFormatPr defaultColWidth="9.140625" defaultRowHeight="12.75"/>
  <cols>
    <col min="1" max="1" width="29.28515625" style="156" customWidth="1"/>
    <col min="2" max="2" width="15" style="156" customWidth="1"/>
    <col min="3" max="3" width="49.7109375" style="156" customWidth="1"/>
    <col min="4" max="4" width="11.140625" style="156" customWidth="1"/>
    <col min="5" max="5" width="57" style="156" customWidth="1"/>
    <col min="6" max="16384" width="9.140625" style="156"/>
  </cols>
  <sheetData>
    <row r="1" spans="1:5">
      <c r="C1" s="162" t="s">
        <v>39</v>
      </c>
    </row>
    <row r="2" spans="1:5">
      <c r="C2" s="162" t="s">
        <v>182</v>
      </c>
    </row>
    <row r="3" spans="1:5">
      <c r="C3" s="215" t="str">
        <f>'Program MW '!H3</f>
        <v>January 2020</v>
      </c>
    </row>
    <row r="4" spans="1:5">
      <c r="C4" s="21"/>
    </row>
    <row r="5" spans="1:5">
      <c r="C5" s="21"/>
      <c r="D5" s="213"/>
    </row>
    <row r="6" spans="1:5" s="21" customFormat="1">
      <c r="A6" s="314"/>
      <c r="B6" s="314"/>
    </row>
    <row r="7" spans="1:5" s="21" customFormat="1"/>
    <row r="8" spans="1:5" s="23" customFormat="1">
      <c r="A8" s="22" t="s">
        <v>183</v>
      </c>
      <c r="B8" s="22" t="s">
        <v>184</v>
      </c>
      <c r="C8" s="22" t="s">
        <v>185</v>
      </c>
      <c r="D8" s="22" t="s">
        <v>186</v>
      </c>
      <c r="E8" s="22" t="s">
        <v>187</v>
      </c>
    </row>
    <row r="9" spans="1:5" s="440" customFormat="1">
      <c r="A9" s="436" t="s">
        <v>56</v>
      </c>
      <c r="B9" s="437" t="s">
        <v>56</v>
      </c>
      <c r="C9" s="444" t="s">
        <v>56</v>
      </c>
      <c r="D9" s="439"/>
      <c r="E9" s="438"/>
    </row>
    <row r="10" spans="1:5" s="443" customFormat="1">
      <c r="A10" s="441" t="s">
        <v>56</v>
      </c>
      <c r="B10" s="442" t="s">
        <v>56</v>
      </c>
      <c r="C10" s="445" t="s">
        <v>56</v>
      </c>
      <c r="D10" s="439"/>
      <c r="E10" s="438"/>
    </row>
    <row r="11" spans="1:5" s="443" customFormat="1">
      <c r="A11" s="441" t="s">
        <v>56</v>
      </c>
      <c r="B11" s="442" t="s">
        <v>56</v>
      </c>
      <c r="C11" s="445" t="s">
        <v>56</v>
      </c>
      <c r="D11" s="439"/>
      <c r="E11" s="446"/>
    </row>
    <row r="12" spans="1:5" s="443" customFormat="1">
      <c r="A12" s="441" t="s">
        <v>56</v>
      </c>
      <c r="B12" s="442" t="s">
        <v>56</v>
      </c>
      <c r="C12" s="445" t="s">
        <v>56</v>
      </c>
      <c r="D12" s="439"/>
      <c r="E12" s="438"/>
    </row>
    <row r="13" spans="1:5">
      <c r="A13" s="158" t="s">
        <v>112</v>
      </c>
      <c r="B13" s="255">
        <f>SUM(B9:B12)</f>
        <v>0</v>
      </c>
      <c r="C13" s="157"/>
      <c r="D13" s="157"/>
      <c r="E13" s="157"/>
    </row>
    <row r="14" spans="1:5">
      <c r="A14" s="157"/>
      <c r="B14" s="157"/>
      <c r="C14" s="157"/>
      <c r="D14" s="157"/>
      <c r="E14" s="157"/>
    </row>
    <row r="16" spans="1:5" ht="14.25">
      <c r="A16" s="672" t="s">
        <v>68</v>
      </c>
    </row>
    <row r="17" spans="1:5" ht="14.25">
      <c r="A17" s="673" t="s">
        <v>188</v>
      </c>
    </row>
    <row r="18" spans="1:5" ht="14.25">
      <c r="A18" s="672"/>
    </row>
    <row r="19" spans="1:5" ht="15">
      <c r="A19" s="674" t="s">
        <v>72</v>
      </c>
      <c r="E19" s="159"/>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6"/>
  <sheetViews>
    <sheetView showGridLines="0" zoomScale="110" zoomScaleNormal="110" zoomScaleSheetLayoutView="80" workbookViewId="0">
      <pane xSplit="1" ySplit="9" topLeftCell="B37" activePane="bottomRight" state="frozen"/>
      <selection pane="topRight" activeCell="B34" sqref="B34"/>
      <selection pane="bottomLeft" activeCell="B34" sqref="B34"/>
      <selection pane="bottomRight" activeCell="D43" sqref="D43"/>
    </sheetView>
  </sheetViews>
  <sheetFormatPr defaultColWidth="9.140625" defaultRowHeight="12.75"/>
  <cols>
    <col min="1" max="1" width="51.7109375" style="142" customWidth="1"/>
    <col min="2" max="2" width="13" style="142" customWidth="1"/>
    <col min="3" max="3" width="11.42578125" style="142" customWidth="1"/>
    <col min="4" max="4" width="15.5703125" style="142" customWidth="1"/>
    <col min="5" max="5" width="12" style="142" customWidth="1"/>
    <col min="6" max="6" width="11.28515625" style="142" bestFit="1" customWidth="1"/>
    <col min="7" max="7" width="12.7109375" style="142" customWidth="1"/>
    <col min="8" max="8" width="11.7109375" style="142" bestFit="1" customWidth="1"/>
    <col min="9" max="9" width="11.7109375" style="142" customWidth="1"/>
    <col min="10" max="10" width="12" style="142" customWidth="1"/>
    <col min="11" max="11" width="10.7109375" style="142" customWidth="1"/>
    <col min="12" max="12" width="11.85546875" style="142" customWidth="1"/>
    <col min="13" max="13" width="11.7109375" style="142" customWidth="1"/>
    <col min="14" max="14" width="23.28515625" style="142" bestFit="1" customWidth="1"/>
    <col min="15" max="15" width="16" style="142" customWidth="1"/>
    <col min="16" max="16" width="17.140625" style="142" customWidth="1"/>
    <col min="17" max="17" width="14.7109375" style="142" customWidth="1"/>
    <col min="18" max="18" width="13.42578125" style="142" bestFit="1" customWidth="1"/>
    <col min="19" max="16384" width="9.140625" style="142"/>
  </cols>
  <sheetData>
    <row r="2" spans="1:18">
      <c r="A2" s="141"/>
      <c r="G2" s="162" t="s">
        <v>189</v>
      </c>
    </row>
    <row r="3" spans="1:18">
      <c r="A3" s="141"/>
      <c r="G3" s="162" t="s">
        <v>190</v>
      </c>
    </row>
    <row r="4" spans="1:18">
      <c r="A4" s="141"/>
      <c r="F4" s="214"/>
      <c r="G4" s="215" t="str">
        <f>'Program MW '!H3</f>
        <v>January 2020</v>
      </c>
      <c r="H4" s="214"/>
      <c r="I4" s="214"/>
    </row>
    <row r="5" spans="1:18">
      <c r="A5" s="141"/>
      <c r="B5" s="214"/>
      <c r="C5" s="214"/>
      <c r="D5" s="214"/>
    </row>
    <row r="6" spans="1:18" ht="13.5" thickBot="1"/>
    <row r="7" spans="1:18">
      <c r="A7" s="356"/>
      <c r="B7" s="143"/>
      <c r="C7" s="143"/>
      <c r="D7" s="143"/>
      <c r="E7" s="143"/>
      <c r="F7" s="143"/>
      <c r="G7" s="143"/>
      <c r="H7" s="143"/>
      <c r="I7" s="143"/>
      <c r="J7" s="143"/>
      <c r="K7" s="143"/>
      <c r="L7" s="143"/>
      <c r="M7" s="144"/>
      <c r="N7" s="144"/>
      <c r="O7" s="144"/>
      <c r="P7" s="145"/>
      <c r="Q7" s="145"/>
      <c r="R7" s="341"/>
    </row>
    <row r="8" spans="1:18" ht="9" customHeight="1">
      <c r="A8" s="357"/>
      <c r="B8" s="146"/>
      <c r="C8" s="146"/>
      <c r="D8" s="146"/>
      <c r="E8" s="146"/>
      <c r="F8" s="146"/>
      <c r="G8" s="146"/>
      <c r="H8" s="146"/>
      <c r="I8" s="146"/>
      <c r="J8" s="146"/>
      <c r="K8" s="146"/>
      <c r="L8" s="146"/>
      <c r="M8" s="147"/>
      <c r="N8" s="147"/>
      <c r="O8" s="147"/>
      <c r="P8" s="148"/>
      <c r="Q8" s="148"/>
      <c r="R8" s="342"/>
    </row>
    <row r="9" spans="1:18" ht="57.75" customHeight="1">
      <c r="A9" s="461" t="s">
        <v>191</v>
      </c>
      <c r="B9" s="474" t="s">
        <v>42</v>
      </c>
      <c r="C9" s="302" t="s">
        <v>43</v>
      </c>
      <c r="D9" s="302" t="s">
        <v>44</v>
      </c>
      <c r="E9" s="302" t="s">
        <v>45</v>
      </c>
      <c r="F9" s="302" t="s">
        <v>31</v>
      </c>
      <c r="G9" s="302" t="s">
        <v>46</v>
      </c>
      <c r="H9" s="302" t="s">
        <v>62</v>
      </c>
      <c r="I9" s="303" t="s">
        <v>63</v>
      </c>
      <c r="J9" s="303" t="s">
        <v>119</v>
      </c>
      <c r="K9" s="302" t="s">
        <v>65</v>
      </c>
      <c r="L9" s="302" t="s">
        <v>120</v>
      </c>
      <c r="M9" s="302" t="s">
        <v>67</v>
      </c>
      <c r="N9" s="149" t="s">
        <v>149</v>
      </c>
      <c r="O9" s="149" t="s">
        <v>192</v>
      </c>
      <c r="P9" s="376" t="s">
        <v>193</v>
      </c>
      <c r="Q9" s="149" t="s">
        <v>194</v>
      </c>
      <c r="R9" s="343" t="s">
        <v>195</v>
      </c>
    </row>
    <row r="10" spans="1:18">
      <c r="A10" s="358" t="s">
        <v>196</v>
      </c>
      <c r="B10" s="475"/>
      <c r="C10" s="15"/>
      <c r="D10" s="15"/>
      <c r="E10" s="15"/>
      <c r="F10" s="150"/>
      <c r="G10" s="293"/>
      <c r="H10" s="150"/>
      <c r="I10" s="150"/>
      <c r="J10" s="150"/>
      <c r="K10" s="150"/>
      <c r="L10" s="150"/>
      <c r="M10" s="587"/>
      <c r="N10" s="582"/>
      <c r="O10" s="151" t="s">
        <v>56</v>
      </c>
      <c r="P10" s="377"/>
      <c r="Q10" s="152"/>
      <c r="R10" s="344"/>
    </row>
    <row r="11" spans="1:18">
      <c r="A11" s="359" t="s">
        <v>197</v>
      </c>
      <c r="B11" s="476">
        <v>2420.3000000000002</v>
      </c>
      <c r="C11" s="462">
        <v>0</v>
      </c>
      <c r="D11" s="462">
        <v>0</v>
      </c>
      <c r="E11" s="462">
        <v>0</v>
      </c>
      <c r="F11" s="462">
        <v>0</v>
      </c>
      <c r="G11" s="462">
        <v>0</v>
      </c>
      <c r="H11" s="462">
        <v>0</v>
      </c>
      <c r="I11" s="462">
        <v>0</v>
      </c>
      <c r="J11" s="462">
        <v>0</v>
      </c>
      <c r="K11" s="462">
        <v>0</v>
      </c>
      <c r="L11" s="462">
        <v>0</v>
      </c>
      <c r="M11" s="582">
        <v>0</v>
      </c>
      <c r="N11" s="582">
        <f>SUM(B11:M11)</f>
        <v>2420.3000000000002</v>
      </c>
      <c r="O11" s="15">
        <f>665232.07+N11</f>
        <v>667652.37</v>
      </c>
      <c r="P11" s="378">
        <v>2869200</v>
      </c>
      <c r="Q11" s="17">
        <v>0</v>
      </c>
      <c r="R11" s="345">
        <f>+O11/P11</f>
        <v>0.23269635089920535</v>
      </c>
    </row>
    <row r="12" spans="1:18">
      <c r="A12" s="359" t="s">
        <v>198</v>
      </c>
      <c r="B12" s="476">
        <v>40192.76</v>
      </c>
      <c r="C12" s="462">
        <v>0</v>
      </c>
      <c r="D12" s="462">
        <v>0</v>
      </c>
      <c r="E12" s="462">
        <v>0</v>
      </c>
      <c r="F12" s="462">
        <v>0</v>
      </c>
      <c r="G12" s="462">
        <v>0</v>
      </c>
      <c r="H12" s="462">
        <v>0</v>
      </c>
      <c r="I12" s="462">
        <v>0</v>
      </c>
      <c r="J12" s="462">
        <v>0</v>
      </c>
      <c r="K12" s="462">
        <v>0</v>
      </c>
      <c r="L12" s="462">
        <v>0</v>
      </c>
      <c r="M12" s="582">
        <v>0</v>
      </c>
      <c r="N12" s="582">
        <f>SUM(B12:M12)</f>
        <v>40192.76</v>
      </c>
      <c r="O12" s="15">
        <f>2788267.14+N12</f>
        <v>2828459.9</v>
      </c>
      <c r="P12" s="378">
        <v>9020700</v>
      </c>
      <c r="Q12" s="17">
        <v>0</v>
      </c>
      <c r="R12" s="345">
        <f t="shared" ref="R12:R15" si="0">+O12/P12</f>
        <v>0.31355215227199662</v>
      </c>
    </row>
    <row r="13" spans="1:18">
      <c r="A13" s="359" t="s">
        <v>199</v>
      </c>
      <c r="B13" s="476">
        <v>9050.1</v>
      </c>
      <c r="C13" s="462">
        <v>0</v>
      </c>
      <c r="D13" s="462">
        <v>0</v>
      </c>
      <c r="E13" s="462">
        <v>0</v>
      </c>
      <c r="F13" s="462">
        <v>0</v>
      </c>
      <c r="G13" s="462">
        <v>0</v>
      </c>
      <c r="H13" s="462">
        <v>0</v>
      </c>
      <c r="I13" s="462">
        <v>0</v>
      </c>
      <c r="J13" s="462">
        <v>0</v>
      </c>
      <c r="K13" s="462">
        <v>0</v>
      </c>
      <c r="L13" s="462">
        <v>0</v>
      </c>
      <c r="M13" s="582">
        <v>0</v>
      </c>
      <c r="N13" s="582">
        <f>SUM(B13:M13)</f>
        <v>9050.1</v>
      </c>
      <c r="O13" s="15">
        <f>361425.18+N13</f>
        <v>370475.27999999997</v>
      </c>
      <c r="P13" s="378">
        <v>4664400</v>
      </c>
      <c r="Q13" s="17">
        <v>0</v>
      </c>
      <c r="R13" s="345">
        <f t="shared" si="0"/>
        <v>7.942613841008489E-2</v>
      </c>
    </row>
    <row r="14" spans="1:18">
      <c r="A14" s="359" t="s">
        <v>200</v>
      </c>
      <c r="B14" s="476">
        <v>12636.34</v>
      </c>
      <c r="C14" s="462">
        <v>0</v>
      </c>
      <c r="D14" s="462">
        <v>0</v>
      </c>
      <c r="E14" s="462">
        <v>0</v>
      </c>
      <c r="F14" s="462">
        <v>0</v>
      </c>
      <c r="G14" s="462">
        <v>0</v>
      </c>
      <c r="H14" s="462">
        <v>0</v>
      </c>
      <c r="I14" s="462">
        <v>0</v>
      </c>
      <c r="J14" s="462">
        <v>0</v>
      </c>
      <c r="K14" s="462">
        <v>0</v>
      </c>
      <c r="L14" s="462">
        <v>0</v>
      </c>
      <c r="M14" s="582">
        <v>0</v>
      </c>
      <c r="N14" s="582">
        <f>SUM(B14:M14)</f>
        <v>12636.34</v>
      </c>
      <c r="O14" s="15">
        <f>756268+N14</f>
        <v>768904.34</v>
      </c>
      <c r="P14" s="17">
        <v>10301202</v>
      </c>
      <c r="Q14" s="17">
        <v>0</v>
      </c>
      <c r="R14" s="345">
        <f t="shared" si="0"/>
        <v>7.4642196124296942E-2</v>
      </c>
    </row>
    <row r="15" spans="1:18" ht="14.25">
      <c r="A15" s="360" t="s">
        <v>201</v>
      </c>
      <c r="B15" s="590">
        <v>0</v>
      </c>
      <c r="C15" s="586">
        <v>0</v>
      </c>
      <c r="D15" s="586">
        <v>0</v>
      </c>
      <c r="E15" s="586">
        <v>0</v>
      </c>
      <c r="F15" s="586">
        <v>0</v>
      </c>
      <c r="G15" s="586">
        <v>0</v>
      </c>
      <c r="H15" s="586">
        <v>0</v>
      </c>
      <c r="I15" s="586">
        <v>0</v>
      </c>
      <c r="J15" s="586">
        <v>0</v>
      </c>
      <c r="K15" s="586">
        <v>0</v>
      </c>
      <c r="L15" s="586">
        <v>0</v>
      </c>
      <c r="M15" s="588">
        <v>0</v>
      </c>
      <c r="N15" s="583">
        <f>SUM(B15:M15)</f>
        <v>0</v>
      </c>
      <c r="O15" s="15">
        <v>15326.449999999999</v>
      </c>
      <c r="P15" s="378">
        <v>19800</v>
      </c>
      <c r="Q15" s="17">
        <v>0</v>
      </c>
      <c r="R15" s="345">
        <f t="shared" si="0"/>
        <v>0.7740631313131312</v>
      </c>
    </row>
    <row r="16" spans="1:18">
      <c r="A16" s="361" t="s">
        <v>202</v>
      </c>
      <c r="B16" s="584">
        <f>SUM(B11:B15)</f>
        <v>64299.5</v>
      </c>
      <c r="C16" s="585">
        <f t="shared" ref="C16:M16" si="1">SUM(C11:C15)</f>
        <v>0</v>
      </c>
      <c r="D16" s="585">
        <f t="shared" si="1"/>
        <v>0</v>
      </c>
      <c r="E16" s="585">
        <f t="shared" si="1"/>
        <v>0</v>
      </c>
      <c r="F16" s="585">
        <f t="shared" si="1"/>
        <v>0</v>
      </c>
      <c r="G16" s="585">
        <f t="shared" si="1"/>
        <v>0</v>
      </c>
      <c r="H16" s="585">
        <f t="shared" si="1"/>
        <v>0</v>
      </c>
      <c r="I16" s="585">
        <f t="shared" si="1"/>
        <v>0</v>
      </c>
      <c r="J16" s="585">
        <f t="shared" si="1"/>
        <v>0</v>
      </c>
      <c r="K16" s="585">
        <f>SUM(K11:K15)</f>
        <v>0</v>
      </c>
      <c r="L16" s="585">
        <f t="shared" si="1"/>
        <v>0</v>
      </c>
      <c r="M16" s="585">
        <f t="shared" si="1"/>
        <v>0</v>
      </c>
      <c r="N16" s="19">
        <f>SUM(N11:N15)</f>
        <v>64299.5</v>
      </c>
      <c r="O16" s="18">
        <f>SUM(O11:O15)</f>
        <v>4650818.34</v>
      </c>
      <c r="P16" s="379">
        <f>SUM(P11:P15)</f>
        <v>26875302</v>
      </c>
      <c r="Q16" s="19">
        <f>SUM(Q11:Q15)</f>
        <v>0</v>
      </c>
      <c r="R16" s="346">
        <f>O16/P16</f>
        <v>0.17305176105555947</v>
      </c>
    </row>
    <row r="17" spans="1:18">
      <c r="A17" s="360"/>
      <c r="B17" s="476"/>
      <c r="C17" s="15"/>
      <c r="D17" s="15"/>
      <c r="E17" s="15"/>
      <c r="F17" s="150"/>
      <c r="G17" s="305"/>
      <c r="H17" s="150"/>
      <c r="I17" s="150"/>
      <c r="J17" s="150"/>
      <c r="K17" s="150"/>
      <c r="L17" s="150"/>
      <c r="M17" s="150"/>
      <c r="N17" s="16"/>
      <c r="O17" s="16"/>
      <c r="P17" s="378"/>
      <c r="Q17" s="17"/>
      <c r="R17" s="345"/>
    </row>
    <row r="18" spans="1:18" ht="25.5">
      <c r="A18" s="358" t="s">
        <v>203</v>
      </c>
      <c r="B18" s="476"/>
      <c r="C18" s="15"/>
      <c r="D18" s="15"/>
      <c r="E18" s="15"/>
      <c r="F18" s="150"/>
      <c r="G18" s="305"/>
      <c r="H18" s="150"/>
      <c r="I18" s="150"/>
      <c r="J18" s="150"/>
      <c r="K18" s="150"/>
      <c r="L18" s="150"/>
      <c r="M18" s="150"/>
      <c r="N18" s="16"/>
      <c r="O18" s="16"/>
      <c r="P18" s="378"/>
      <c r="Q18" s="17"/>
      <c r="R18" s="345"/>
    </row>
    <row r="19" spans="1:18">
      <c r="A19" s="359"/>
      <c r="B19" s="476">
        <v>0</v>
      </c>
      <c r="C19" s="15">
        <v>0</v>
      </c>
      <c r="D19" s="15">
        <v>0</v>
      </c>
      <c r="E19" s="15">
        <v>0</v>
      </c>
      <c r="F19" s="15">
        <v>0</v>
      </c>
      <c r="G19" s="15">
        <v>0</v>
      </c>
      <c r="H19" s="15">
        <v>0</v>
      </c>
      <c r="I19" s="15">
        <v>0</v>
      </c>
      <c r="J19" s="15">
        <v>0</v>
      </c>
      <c r="K19" s="15">
        <v>0</v>
      </c>
      <c r="L19" s="15">
        <v>0</v>
      </c>
      <c r="M19" s="15">
        <v>0</v>
      </c>
      <c r="N19" s="16">
        <f>SUM(B19:M19)</f>
        <v>0</v>
      </c>
      <c r="O19" s="15">
        <v>0</v>
      </c>
      <c r="P19" s="380">
        <v>0</v>
      </c>
      <c r="Q19" s="16">
        <v>0</v>
      </c>
      <c r="R19" s="345">
        <v>0</v>
      </c>
    </row>
    <row r="20" spans="1:18">
      <c r="A20" s="361" t="s">
        <v>204</v>
      </c>
      <c r="B20" s="477">
        <f t="shared" ref="B20:N20" si="2">SUM(B19:B19)</f>
        <v>0</v>
      </c>
      <c r="C20" s="18">
        <f t="shared" si="2"/>
        <v>0</v>
      </c>
      <c r="D20" s="18">
        <f t="shared" si="2"/>
        <v>0</v>
      </c>
      <c r="E20" s="18">
        <f t="shared" si="2"/>
        <v>0</v>
      </c>
      <c r="F20" s="18">
        <f t="shared" si="2"/>
        <v>0</v>
      </c>
      <c r="G20" s="306">
        <f t="shared" si="2"/>
        <v>0</v>
      </c>
      <c r="H20" s="18">
        <f t="shared" si="2"/>
        <v>0</v>
      </c>
      <c r="I20" s="18">
        <f t="shared" si="2"/>
        <v>0</v>
      </c>
      <c r="J20" s="18">
        <f t="shared" si="2"/>
        <v>0</v>
      </c>
      <c r="K20" s="18">
        <f t="shared" si="2"/>
        <v>0</v>
      </c>
      <c r="L20" s="18">
        <f t="shared" si="2"/>
        <v>0</v>
      </c>
      <c r="M20" s="18">
        <f t="shared" si="2"/>
        <v>0</v>
      </c>
      <c r="N20" s="19">
        <f t="shared" si="2"/>
        <v>0</v>
      </c>
      <c r="O20" s="19">
        <f>SUM(B20:M20)</f>
        <v>0</v>
      </c>
      <c r="P20" s="379">
        <f>SUM(P19:P19)</f>
        <v>0</v>
      </c>
      <c r="Q20" s="19">
        <f>SUM(Q19:Q19)</f>
        <v>0</v>
      </c>
      <c r="R20" s="347">
        <v>0</v>
      </c>
    </row>
    <row r="21" spans="1:18">
      <c r="A21" s="362"/>
      <c r="B21" s="476"/>
      <c r="C21" s="15"/>
      <c r="D21" s="15"/>
      <c r="E21" s="15"/>
      <c r="F21" s="15"/>
      <c r="G21" s="305"/>
      <c r="H21" s="15"/>
      <c r="I21" s="15"/>
      <c r="J21" s="15"/>
      <c r="K21" s="15"/>
      <c r="L21" s="15"/>
      <c r="M21" s="15"/>
      <c r="N21" s="16"/>
      <c r="O21" s="16"/>
      <c r="P21" s="380"/>
      <c r="Q21" s="16"/>
      <c r="R21" s="348"/>
    </row>
    <row r="22" spans="1:18" ht="25.5">
      <c r="A22" s="358" t="s">
        <v>205</v>
      </c>
      <c r="B22" s="476"/>
      <c r="C22" s="15"/>
      <c r="D22" s="15"/>
      <c r="E22" s="15"/>
      <c r="F22" s="150"/>
      <c r="G22" s="305"/>
      <c r="H22" s="150"/>
      <c r="I22" s="150"/>
      <c r="J22" s="150"/>
      <c r="K22" s="150"/>
      <c r="L22" s="150"/>
      <c r="M22" s="150"/>
      <c r="N22" s="16"/>
      <c r="O22" s="16"/>
      <c r="P22" s="378"/>
      <c r="Q22" s="17"/>
      <c r="R22" s="345"/>
    </row>
    <row r="23" spans="1:18">
      <c r="A23" s="359" t="s">
        <v>206</v>
      </c>
      <c r="B23" s="590">
        <v>25434.629999999997</v>
      </c>
      <c r="C23" s="586">
        <v>0</v>
      </c>
      <c r="D23" s="586">
        <v>0</v>
      </c>
      <c r="E23" s="586">
        <v>0</v>
      </c>
      <c r="F23" s="586">
        <v>0</v>
      </c>
      <c r="G23" s="586">
        <v>0</v>
      </c>
      <c r="H23" s="586">
        <v>0</v>
      </c>
      <c r="I23" s="586">
        <v>0</v>
      </c>
      <c r="J23" s="586">
        <v>0</v>
      </c>
      <c r="K23" s="586">
        <v>0</v>
      </c>
      <c r="L23" s="586">
        <v>0</v>
      </c>
      <c r="M23" s="588">
        <v>0</v>
      </c>
      <c r="N23" s="589">
        <f>SUM(B23:M23)</f>
        <v>25434.629999999997</v>
      </c>
      <c r="O23" s="15">
        <f>2336825.61+N23</f>
        <v>2362260.2399999998</v>
      </c>
      <c r="P23" s="380">
        <v>3000000</v>
      </c>
      <c r="Q23" s="16">
        <v>0</v>
      </c>
      <c r="R23" s="345">
        <f t="shared" ref="R23" si="3">+O23/P23</f>
        <v>0.78742007999999997</v>
      </c>
    </row>
    <row r="24" spans="1:18">
      <c r="A24" s="361" t="s">
        <v>207</v>
      </c>
      <c r="B24" s="590">
        <f t="shared" ref="B24:N24" si="4">SUM(B23:B23)</f>
        <v>25434.629999999997</v>
      </c>
      <c r="C24" s="585">
        <f t="shared" si="4"/>
        <v>0</v>
      </c>
      <c r="D24" s="585">
        <f t="shared" si="4"/>
        <v>0</v>
      </c>
      <c r="E24" s="585">
        <f t="shared" si="4"/>
        <v>0</v>
      </c>
      <c r="F24" s="585">
        <f t="shared" si="4"/>
        <v>0</v>
      </c>
      <c r="G24" s="586">
        <f t="shared" si="4"/>
        <v>0</v>
      </c>
      <c r="H24" s="585">
        <f t="shared" si="4"/>
        <v>0</v>
      </c>
      <c r="I24" s="585">
        <f t="shared" si="4"/>
        <v>0</v>
      </c>
      <c r="J24" s="585">
        <f t="shared" si="4"/>
        <v>0</v>
      </c>
      <c r="K24" s="585">
        <f t="shared" si="4"/>
        <v>0</v>
      </c>
      <c r="L24" s="585">
        <f t="shared" si="4"/>
        <v>0</v>
      </c>
      <c r="M24" s="585">
        <f t="shared" si="4"/>
        <v>0</v>
      </c>
      <c r="N24" s="19">
        <f t="shared" si="4"/>
        <v>25434.629999999997</v>
      </c>
      <c r="O24" s="19">
        <f>O23</f>
        <v>2362260.2399999998</v>
      </c>
      <c r="P24" s="379">
        <f>SUM(P23:P23)</f>
        <v>3000000</v>
      </c>
      <c r="Q24" s="19">
        <f>SUM(Q23:Q23)</f>
        <v>0</v>
      </c>
      <c r="R24" s="347">
        <f>O24/P24</f>
        <v>0.78742007999999997</v>
      </c>
    </row>
    <row r="25" spans="1:18">
      <c r="A25" s="358"/>
      <c r="B25" s="476"/>
      <c r="C25" s="15"/>
      <c r="D25" s="15"/>
      <c r="E25" s="15"/>
      <c r="F25" s="150"/>
      <c r="G25" s="305"/>
      <c r="H25" s="150"/>
      <c r="I25" s="150"/>
      <c r="J25" s="150"/>
      <c r="K25" s="150"/>
      <c r="L25" s="150"/>
      <c r="M25" s="150"/>
      <c r="N25" s="16"/>
      <c r="O25" s="16"/>
      <c r="P25" s="378"/>
      <c r="Q25" s="17"/>
      <c r="R25" s="345"/>
    </row>
    <row r="26" spans="1:18">
      <c r="A26" s="358" t="s">
        <v>208</v>
      </c>
      <c r="B26" s="476"/>
      <c r="C26" s="15"/>
      <c r="D26" s="15"/>
      <c r="E26" s="15"/>
      <c r="F26" s="150"/>
      <c r="G26" s="305"/>
      <c r="H26" s="150"/>
      <c r="I26" s="150"/>
      <c r="J26" s="150"/>
      <c r="K26" s="150"/>
      <c r="L26" s="150"/>
      <c r="M26" s="150"/>
      <c r="N26" s="16"/>
      <c r="O26" s="16"/>
      <c r="P26" s="378"/>
      <c r="Q26" s="17"/>
      <c r="R26" s="345"/>
    </row>
    <row r="27" spans="1:18">
      <c r="A27" s="359" t="s">
        <v>209</v>
      </c>
      <c r="B27" s="475">
        <v>40100.240000000005</v>
      </c>
      <c r="C27" s="592">
        <v>0</v>
      </c>
      <c r="D27" s="592">
        <v>0</v>
      </c>
      <c r="E27" s="592">
        <v>0</v>
      </c>
      <c r="F27" s="592">
        <v>0</v>
      </c>
      <c r="G27" s="592">
        <v>0</v>
      </c>
      <c r="H27" s="592">
        <v>0</v>
      </c>
      <c r="I27" s="592">
        <v>0</v>
      </c>
      <c r="J27" s="592">
        <v>0</v>
      </c>
      <c r="K27" s="592">
        <v>0</v>
      </c>
      <c r="L27" s="592">
        <v>0</v>
      </c>
      <c r="M27" s="593">
        <v>0</v>
      </c>
      <c r="N27" s="589">
        <f>SUM(B27:M27)</f>
        <v>40100.240000000005</v>
      </c>
      <c r="O27" s="15">
        <f>876453.01+N27</f>
        <v>916553.25</v>
      </c>
      <c r="P27" s="380">
        <v>3483000</v>
      </c>
      <c r="Q27" s="16">
        <v>0</v>
      </c>
      <c r="R27" s="345">
        <f t="shared" ref="R27:R29" si="5">+O27/P27</f>
        <v>0.26315051679586565</v>
      </c>
    </row>
    <row r="28" spans="1:18">
      <c r="A28" s="359" t="s">
        <v>210</v>
      </c>
      <c r="B28" s="476">
        <v>32236.809999999998</v>
      </c>
      <c r="C28" s="462">
        <v>0</v>
      </c>
      <c r="D28" s="462">
        <v>0</v>
      </c>
      <c r="E28" s="462">
        <v>0</v>
      </c>
      <c r="F28" s="462">
        <v>0</v>
      </c>
      <c r="G28" s="462">
        <v>0</v>
      </c>
      <c r="H28" s="462">
        <v>0</v>
      </c>
      <c r="I28" s="462">
        <v>0</v>
      </c>
      <c r="J28" s="462">
        <v>0</v>
      </c>
      <c r="K28" s="462">
        <v>0</v>
      </c>
      <c r="L28" s="462">
        <v>0</v>
      </c>
      <c r="M28" s="582">
        <v>0</v>
      </c>
      <c r="N28" s="589">
        <f>SUM(B28:M28)</f>
        <v>32236.809999999998</v>
      </c>
      <c r="O28" s="15">
        <f>1065210.38+N28</f>
        <v>1097447.19</v>
      </c>
      <c r="P28" s="380">
        <v>3794000</v>
      </c>
      <c r="Q28" s="16">
        <v>0</v>
      </c>
      <c r="R28" s="345">
        <f t="shared" si="5"/>
        <v>0.28925861623616234</v>
      </c>
    </row>
    <row r="29" spans="1:18">
      <c r="A29" s="363" t="s">
        <v>211</v>
      </c>
      <c r="B29" s="590">
        <v>19221.389999999996</v>
      </c>
      <c r="C29" s="586">
        <v>0</v>
      </c>
      <c r="D29" s="586">
        <v>0</v>
      </c>
      <c r="E29" s="586">
        <v>0</v>
      </c>
      <c r="F29" s="586">
        <v>0</v>
      </c>
      <c r="G29" s="586">
        <v>0</v>
      </c>
      <c r="H29" s="586">
        <v>0</v>
      </c>
      <c r="I29" s="586">
        <v>0</v>
      </c>
      <c r="J29" s="586">
        <v>0</v>
      </c>
      <c r="K29" s="586">
        <v>0</v>
      </c>
      <c r="L29" s="586">
        <v>0</v>
      </c>
      <c r="M29" s="588">
        <v>0</v>
      </c>
      <c r="N29" s="589">
        <f>SUM(B29:M29)</f>
        <v>19221.389999999996</v>
      </c>
      <c r="O29" s="15">
        <f>591946.07+N29</f>
        <v>611167.46</v>
      </c>
      <c r="P29" s="16">
        <v>11267000</v>
      </c>
      <c r="Q29" s="16">
        <v>0</v>
      </c>
      <c r="R29" s="345">
        <f t="shared" si="5"/>
        <v>5.4244027691488415E-2</v>
      </c>
    </row>
    <row r="30" spans="1:18">
      <c r="A30" s="361" t="s">
        <v>212</v>
      </c>
      <c r="B30" s="590">
        <f t="shared" ref="B30:J30" si="6">SUM(B27:B29)</f>
        <v>91558.44</v>
      </c>
      <c r="C30" s="585">
        <f t="shared" si="6"/>
        <v>0</v>
      </c>
      <c r="D30" s="585">
        <f t="shared" si="6"/>
        <v>0</v>
      </c>
      <c r="E30" s="585">
        <f>SUM(E27:E29)</f>
        <v>0</v>
      </c>
      <c r="F30" s="591">
        <f t="shared" si="6"/>
        <v>0</v>
      </c>
      <c r="G30" s="586">
        <f t="shared" si="6"/>
        <v>0</v>
      </c>
      <c r="H30" s="591">
        <f t="shared" si="6"/>
        <v>0</v>
      </c>
      <c r="I30" s="591">
        <f t="shared" si="6"/>
        <v>0</v>
      </c>
      <c r="J30" s="591">
        <f t="shared" si="6"/>
        <v>0</v>
      </c>
      <c r="K30" s="591">
        <f t="shared" ref="K30:Q30" si="7">SUM(K27:K29)</f>
        <v>0</v>
      </c>
      <c r="L30" s="591">
        <f t="shared" si="7"/>
        <v>0</v>
      </c>
      <c r="M30" s="591">
        <f t="shared" si="7"/>
        <v>0</v>
      </c>
      <c r="N30" s="19">
        <f t="shared" si="7"/>
        <v>91558.44</v>
      </c>
      <c r="O30" s="19">
        <f t="shared" si="7"/>
        <v>2625167.9</v>
      </c>
      <c r="P30" s="379">
        <f>SUM(P27:P29)</f>
        <v>18544000</v>
      </c>
      <c r="Q30" s="19">
        <f t="shared" si="7"/>
        <v>0</v>
      </c>
      <c r="R30" s="347">
        <f>O30/P30</f>
        <v>0.14156427415875755</v>
      </c>
    </row>
    <row r="31" spans="1:18">
      <c r="A31" s="359"/>
      <c r="B31" s="476"/>
      <c r="C31" s="15"/>
      <c r="D31" s="15"/>
      <c r="E31" s="15"/>
      <c r="F31" s="150"/>
      <c r="G31" s="305"/>
      <c r="H31" s="150"/>
      <c r="I31" s="150"/>
      <c r="J31" s="150"/>
      <c r="K31" s="150"/>
      <c r="L31" s="150"/>
      <c r="M31" s="150"/>
      <c r="N31" s="16"/>
      <c r="O31" s="16"/>
      <c r="P31" s="380"/>
      <c r="Q31" s="16"/>
      <c r="R31" s="345"/>
    </row>
    <row r="32" spans="1:18">
      <c r="A32" s="358" t="s">
        <v>213</v>
      </c>
      <c r="B32" s="476"/>
      <c r="C32" s="15"/>
      <c r="D32" s="15"/>
      <c r="E32" s="15"/>
      <c r="F32" s="150"/>
      <c r="G32" s="305"/>
      <c r="H32" s="150"/>
      <c r="I32" s="150"/>
      <c r="J32" s="150"/>
      <c r="K32" s="150"/>
      <c r="L32" s="150"/>
      <c r="M32" s="150"/>
      <c r="N32" s="16"/>
      <c r="O32" s="16"/>
      <c r="P32" s="380"/>
      <c r="Q32" s="16"/>
      <c r="R32" s="345"/>
    </row>
    <row r="33" spans="1:18">
      <c r="A33" s="359" t="s">
        <v>214</v>
      </c>
      <c r="B33" s="475">
        <v>0</v>
      </c>
      <c r="C33" s="592">
        <v>0</v>
      </c>
      <c r="D33" s="592">
        <v>0</v>
      </c>
      <c r="E33" s="592">
        <v>0</v>
      </c>
      <c r="F33" s="592">
        <v>0</v>
      </c>
      <c r="G33" s="592">
        <v>0</v>
      </c>
      <c r="H33" s="592">
        <v>0</v>
      </c>
      <c r="I33" s="592">
        <v>0</v>
      </c>
      <c r="J33" s="592">
        <v>0</v>
      </c>
      <c r="K33" s="592">
        <v>0</v>
      </c>
      <c r="L33" s="592">
        <v>0</v>
      </c>
      <c r="M33" s="593">
        <v>0</v>
      </c>
      <c r="N33" s="589">
        <f>SUM(B33:M33)</f>
        <v>0</v>
      </c>
      <c r="O33" s="15">
        <f>8111.66+N33</f>
        <v>8111.66</v>
      </c>
      <c r="P33" s="380">
        <v>2587000</v>
      </c>
      <c r="Q33" s="16">
        <v>0</v>
      </c>
      <c r="R33" s="345">
        <f t="shared" ref="R33:R36" si="8">+O33/P33</f>
        <v>3.1355469655972167E-3</v>
      </c>
    </row>
    <row r="34" spans="1:18">
      <c r="A34" s="359" t="s">
        <v>215</v>
      </c>
      <c r="B34" s="476">
        <v>0</v>
      </c>
      <c r="C34" s="462">
        <v>0</v>
      </c>
      <c r="D34" s="462">
        <v>0</v>
      </c>
      <c r="E34" s="462">
        <v>0</v>
      </c>
      <c r="F34" s="462">
        <v>0</v>
      </c>
      <c r="G34" s="462">
        <v>0</v>
      </c>
      <c r="H34" s="462">
        <v>0</v>
      </c>
      <c r="I34" s="462">
        <v>0</v>
      </c>
      <c r="J34" s="462">
        <v>0</v>
      </c>
      <c r="K34" s="462">
        <v>0</v>
      </c>
      <c r="L34" s="462">
        <v>0</v>
      </c>
      <c r="M34" s="582">
        <v>0</v>
      </c>
      <c r="N34" s="589">
        <f>SUM(B34:M34)</f>
        <v>0</v>
      </c>
      <c r="O34" s="15">
        <f>0+N34</f>
        <v>0</v>
      </c>
      <c r="P34" s="16">
        <v>50000</v>
      </c>
      <c r="Q34" s="16">
        <v>0</v>
      </c>
      <c r="R34" s="345">
        <f t="shared" si="8"/>
        <v>0</v>
      </c>
    </row>
    <row r="35" spans="1:18">
      <c r="A35" s="387" t="s">
        <v>216</v>
      </c>
      <c r="B35" s="476">
        <v>1411.1</v>
      </c>
      <c r="C35" s="462">
        <v>0</v>
      </c>
      <c r="D35" s="462">
        <v>0</v>
      </c>
      <c r="E35" s="462">
        <v>0</v>
      </c>
      <c r="F35" s="462">
        <v>0</v>
      </c>
      <c r="G35" s="462">
        <v>0</v>
      </c>
      <c r="H35" s="462">
        <v>0</v>
      </c>
      <c r="I35" s="462">
        <v>0</v>
      </c>
      <c r="J35" s="462">
        <v>0</v>
      </c>
      <c r="K35" s="462">
        <v>0</v>
      </c>
      <c r="L35" s="462">
        <v>0</v>
      </c>
      <c r="M35" s="582">
        <v>0</v>
      </c>
      <c r="N35" s="589">
        <f>SUM(B35:M35)</f>
        <v>1411.1</v>
      </c>
      <c r="O35" s="15">
        <f>389509.21+N35</f>
        <v>390920.31</v>
      </c>
      <c r="P35" s="380">
        <v>2148000</v>
      </c>
      <c r="Q35" s="16">
        <v>0</v>
      </c>
      <c r="R35" s="345">
        <f t="shared" si="8"/>
        <v>0.18199269553072625</v>
      </c>
    </row>
    <row r="36" spans="1:18">
      <c r="A36" s="388" t="s">
        <v>217</v>
      </c>
      <c r="B36" s="590">
        <v>0</v>
      </c>
      <c r="C36" s="586">
        <v>0</v>
      </c>
      <c r="D36" s="586">
        <v>0</v>
      </c>
      <c r="E36" s="586">
        <v>0</v>
      </c>
      <c r="F36" s="586">
        <v>0</v>
      </c>
      <c r="G36" s="586">
        <v>0</v>
      </c>
      <c r="H36" s="586">
        <v>0</v>
      </c>
      <c r="I36" s="586">
        <v>0</v>
      </c>
      <c r="J36" s="586">
        <v>0</v>
      </c>
      <c r="K36" s="586">
        <v>0</v>
      </c>
      <c r="L36" s="586">
        <v>0</v>
      </c>
      <c r="M36" s="588">
        <v>0</v>
      </c>
      <c r="N36" s="589">
        <f>SUM(B36:M36)</f>
        <v>0</v>
      </c>
      <c r="O36" s="15">
        <f>36788.21+N36</f>
        <v>36788.21</v>
      </c>
      <c r="P36" s="16">
        <v>340000</v>
      </c>
      <c r="Q36" s="16">
        <v>0</v>
      </c>
      <c r="R36" s="345">
        <f t="shared" si="8"/>
        <v>0.10820061764705882</v>
      </c>
    </row>
    <row r="37" spans="1:18">
      <c r="A37" s="361" t="s">
        <v>218</v>
      </c>
      <c r="B37" s="590">
        <f t="shared" ref="B37:Q37" si="9">SUM(B33:B36)</f>
        <v>1411.1</v>
      </c>
      <c r="C37" s="585">
        <f t="shared" si="9"/>
        <v>0</v>
      </c>
      <c r="D37" s="585">
        <f t="shared" si="9"/>
        <v>0</v>
      </c>
      <c r="E37" s="585">
        <f t="shared" si="9"/>
        <v>0</v>
      </c>
      <c r="F37" s="585">
        <f t="shared" si="9"/>
        <v>0</v>
      </c>
      <c r="G37" s="586">
        <f t="shared" si="9"/>
        <v>0</v>
      </c>
      <c r="H37" s="585">
        <f t="shared" si="9"/>
        <v>0</v>
      </c>
      <c r="I37" s="585">
        <f t="shared" si="9"/>
        <v>0</v>
      </c>
      <c r="J37" s="585">
        <f t="shared" si="9"/>
        <v>0</v>
      </c>
      <c r="K37" s="585">
        <f t="shared" si="9"/>
        <v>0</v>
      </c>
      <c r="L37" s="585">
        <f t="shared" si="9"/>
        <v>0</v>
      </c>
      <c r="M37" s="583">
        <f t="shared" si="9"/>
        <v>0</v>
      </c>
      <c r="N37" s="221">
        <f>SUM(N33:N36)</f>
        <v>1411.1</v>
      </c>
      <c r="O37" s="19">
        <f>SUM(O33:O36)</f>
        <v>435820.18</v>
      </c>
      <c r="P37" s="379">
        <f t="shared" si="9"/>
        <v>5125000</v>
      </c>
      <c r="Q37" s="19">
        <f t="shared" si="9"/>
        <v>0</v>
      </c>
      <c r="R37" s="347">
        <f>O37/P37</f>
        <v>8.5038083902439027E-2</v>
      </c>
    </row>
    <row r="38" spans="1:18">
      <c r="A38" s="359"/>
      <c r="B38" s="476"/>
      <c r="C38" s="15"/>
      <c r="D38" s="15"/>
      <c r="E38" s="15"/>
      <c r="F38" s="150"/>
      <c r="G38" s="305"/>
      <c r="H38" s="150"/>
      <c r="I38" s="150"/>
      <c r="J38" s="150"/>
      <c r="K38" s="150"/>
      <c r="L38" s="150"/>
      <c r="M38" s="150"/>
      <c r="N38" s="16"/>
      <c r="O38" s="16"/>
      <c r="P38" s="380"/>
      <c r="Q38" s="16"/>
      <c r="R38" s="345"/>
    </row>
    <row r="39" spans="1:18">
      <c r="A39" s="358" t="s">
        <v>219</v>
      </c>
      <c r="B39" s="476"/>
      <c r="C39" s="15"/>
      <c r="D39" s="15"/>
      <c r="E39" s="15"/>
      <c r="F39" s="150"/>
      <c r="G39" s="305"/>
      <c r="H39" s="150"/>
      <c r="I39" s="150"/>
      <c r="J39" s="150"/>
      <c r="K39" s="150"/>
      <c r="L39" s="150"/>
      <c r="M39" s="150"/>
      <c r="N39" s="16"/>
      <c r="O39" s="16"/>
      <c r="P39" s="380"/>
      <c r="Q39" s="16"/>
      <c r="R39" s="345"/>
    </row>
    <row r="40" spans="1:18">
      <c r="A40" s="359" t="s">
        <v>220</v>
      </c>
      <c r="B40" s="594">
        <v>5607.42</v>
      </c>
      <c r="C40" s="595">
        <v>0</v>
      </c>
      <c r="D40" s="595">
        <v>0</v>
      </c>
      <c r="E40" s="595">
        <v>0</v>
      </c>
      <c r="F40" s="595">
        <v>0</v>
      </c>
      <c r="G40" s="595">
        <v>0</v>
      </c>
      <c r="H40" s="595">
        <v>0</v>
      </c>
      <c r="I40" s="595">
        <v>0</v>
      </c>
      <c r="J40" s="595">
        <v>0</v>
      </c>
      <c r="K40" s="595">
        <v>0</v>
      </c>
      <c r="L40" s="595">
        <v>0</v>
      </c>
      <c r="M40" s="596">
        <v>0</v>
      </c>
      <c r="N40" s="589">
        <f>SUM(B40:M40)</f>
        <v>5607.42</v>
      </c>
      <c r="O40" s="15">
        <f>1811464.47+N40</f>
        <v>1817071.89</v>
      </c>
      <c r="P40" s="380">
        <v>4502000</v>
      </c>
      <c r="Q40" s="16">
        <v>0</v>
      </c>
      <c r="R40" s="345">
        <f t="shared" ref="R40" si="10">+O40/P40</f>
        <v>0.40361436916925808</v>
      </c>
    </row>
    <row r="41" spans="1:18">
      <c r="A41" s="361" t="s">
        <v>221</v>
      </c>
      <c r="B41" s="590">
        <f t="shared" ref="B41:N41" si="11">SUM(B40:B40)</f>
        <v>5607.42</v>
      </c>
      <c r="C41" s="585">
        <f t="shared" si="11"/>
        <v>0</v>
      </c>
      <c r="D41" s="585">
        <f t="shared" si="11"/>
        <v>0</v>
      </c>
      <c r="E41" s="585">
        <f t="shared" si="11"/>
        <v>0</v>
      </c>
      <c r="F41" s="591">
        <f t="shared" si="11"/>
        <v>0</v>
      </c>
      <c r="G41" s="586">
        <f t="shared" si="11"/>
        <v>0</v>
      </c>
      <c r="H41" s="591">
        <f t="shared" si="11"/>
        <v>0</v>
      </c>
      <c r="I41" s="591">
        <f t="shared" si="11"/>
        <v>0</v>
      </c>
      <c r="J41" s="591">
        <f t="shared" si="11"/>
        <v>0</v>
      </c>
      <c r="K41" s="591">
        <f t="shared" si="11"/>
        <v>0</v>
      </c>
      <c r="L41" s="591">
        <f t="shared" si="11"/>
        <v>0</v>
      </c>
      <c r="M41" s="591">
        <f t="shared" si="11"/>
        <v>0</v>
      </c>
      <c r="N41" s="19">
        <f t="shared" si="11"/>
        <v>5607.42</v>
      </c>
      <c r="O41" s="19">
        <f>O40</f>
        <v>1817071.89</v>
      </c>
      <c r="P41" s="379">
        <f>SUM(P40)</f>
        <v>4502000</v>
      </c>
      <c r="Q41" s="19">
        <f>SUM(Q40:Q40)</f>
        <v>0</v>
      </c>
      <c r="R41" s="347">
        <f>O41/P41</f>
        <v>0.40361436916925808</v>
      </c>
    </row>
    <row r="42" spans="1:18">
      <c r="A42" s="358"/>
      <c r="B42" s="476"/>
      <c r="C42" s="15"/>
      <c r="D42" s="15"/>
      <c r="E42" s="15"/>
      <c r="F42" s="150"/>
      <c r="G42" s="305"/>
      <c r="H42" s="150"/>
      <c r="I42" s="150"/>
      <c r="J42" s="150"/>
      <c r="K42" s="150"/>
      <c r="L42" s="150"/>
      <c r="M42" s="150"/>
      <c r="N42" s="16"/>
      <c r="O42" s="478"/>
      <c r="P42" s="479"/>
      <c r="Q42" s="16"/>
      <c r="R42" s="345"/>
    </row>
    <row r="43" spans="1:18">
      <c r="A43" s="358" t="s">
        <v>222</v>
      </c>
      <c r="B43" s="476"/>
      <c r="C43" s="15"/>
      <c r="D43" s="15"/>
      <c r="E43" s="15"/>
      <c r="F43" s="150"/>
      <c r="G43" s="305"/>
      <c r="H43" s="150"/>
      <c r="I43" s="150"/>
      <c r="J43" s="150"/>
      <c r="K43" s="150"/>
      <c r="L43" s="150"/>
      <c r="M43" s="150"/>
      <c r="N43" s="16"/>
      <c r="O43" s="478"/>
      <c r="P43" s="380"/>
      <c r="Q43" s="16"/>
      <c r="R43" s="345"/>
    </row>
    <row r="44" spans="1:18">
      <c r="A44" s="359" t="s">
        <v>223</v>
      </c>
      <c r="B44" s="476">
        <v>28658.379999999997</v>
      </c>
      <c r="C44" s="462">
        <v>0</v>
      </c>
      <c r="D44" s="462">
        <v>0</v>
      </c>
      <c r="E44" s="462">
        <v>0</v>
      </c>
      <c r="F44" s="462">
        <v>0</v>
      </c>
      <c r="G44" s="462">
        <v>0</v>
      </c>
      <c r="H44" s="462">
        <v>0</v>
      </c>
      <c r="I44" s="462">
        <v>0</v>
      </c>
      <c r="J44" s="462">
        <v>0</v>
      </c>
      <c r="K44" s="462">
        <v>0</v>
      </c>
      <c r="L44" s="462">
        <v>0</v>
      </c>
      <c r="M44" s="462">
        <v>0</v>
      </c>
      <c r="N44" s="16">
        <f>SUM(B44:M44)</f>
        <v>28658.379999999997</v>
      </c>
      <c r="O44" s="15">
        <f>1022198.73+N44</f>
        <v>1050857.1099999999</v>
      </c>
      <c r="P44" s="480">
        <v>4095000</v>
      </c>
      <c r="Q44" s="16">
        <v>0</v>
      </c>
      <c r="R44" s="345">
        <f t="shared" ref="R44:R47" si="12">+O44/P44</f>
        <v>0.25661956288156285</v>
      </c>
    </row>
    <row r="45" spans="1:18" s="214" customFormat="1">
      <c r="A45" s="360" t="s">
        <v>224</v>
      </c>
      <c r="B45" s="476">
        <v>40093.299999999996</v>
      </c>
      <c r="C45" s="462">
        <v>0</v>
      </c>
      <c r="D45" s="462">
        <v>0</v>
      </c>
      <c r="E45" s="462">
        <v>0</v>
      </c>
      <c r="F45" s="462">
        <v>0</v>
      </c>
      <c r="G45" s="462">
        <v>0</v>
      </c>
      <c r="H45" s="462">
        <v>0</v>
      </c>
      <c r="I45" s="462">
        <v>0</v>
      </c>
      <c r="J45" s="462">
        <v>0</v>
      </c>
      <c r="K45" s="462">
        <v>0</v>
      </c>
      <c r="L45" s="462">
        <v>0</v>
      </c>
      <c r="M45" s="462">
        <v>0</v>
      </c>
      <c r="N45" s="380">
        <f>SUM(B45:M45)</f>
        <v>40093.299999999996</v>
      </c>
      <c r="O45" s="575">
        <f>3230727.24+N45</f>
        <v>3270820.54</v>
      </c>
      <c r="P45" s="480">
        <v>7948000</v>
      </c>
      <c r="Q45" s="380">
        <v>0</v>
      </c>
      <c r="R45" s="576">
        <f t="shared" si="12"/>
        <v>0.41152749622546553</v>
      </c>
    </row>
    <row r="46" spans="1:18">
      <c r="A46" s="359" t="s">
        <v>225</v>
      </c>
      <c r="B46" s="476">
        <v>76793.719999999987</v>
      </c>
      <c r="C46" s="462">
        <v>0</v>
      </c>
      <c r="D46" s="462">
        <v>0</v>
      </c>
      <c r="E46" s="462">
        <v>0</v>
      </c>
      <c r="F46" s="462">
        <v>0</v>
      </c>
      <c r="G46" s="462">
        <v>0</v>
      </c>
      <c r="H46" s="462">
        <v>0</v>
      </c>
      <c r="I46" s="462">
        <v>0</v>
      </c>
      <c r="J46" s="462">
        <v>0</v>
      </c>
      <c r="K46" s="462">
        <v>0</v>
      </c>
      <c r="L46" s="462">
        <v>0</v>
      </c>
      <c r="M46" s="462">
        <v>0</v>
      </c>
      <c r="N46" s="16">
        <f>SUM(B46:M46)</f>
        <v>76793.719999999987</v>
      </c>
      <c r="O46" s="15">
        <f>1507881.71+N46</f>
        <v>1584675.43</v>
      </c>
      <c r="P46" s="481">
        <v>5600600</v>
      </c>
      <c r="Q46" s="16">
        <v>0</v>
      </c>
      <c r="R46" s="345">
        <f t="shared" si="12"/>
        <v>0.28294743956004714</v>
      </c>
    </row>
    <row r="47" spans="1:18">
      <c r="A47" s="359" t="s">
        <v>226</v>
      </c>
      <c r="B47" s="476">
        <v>0</v>
      </c>
      <c r="C47" s="462">
        <v>0</v>
      </c>
      <c r="D47" s="462">
        <v>0</v>
      </c>
      <c r="E47" s="462">
        <v>0</v>
      </c>
      <c r="F47" s="462">
        <v>0</v>
      </c>
      <c r="G47" s="462">
        <v>0</v>
      </c>
      <c r="H47" s="462">
        <v>0</v>
      </c>
      <c r="I47" s="462">
        <v>0</v>
      </c>
      <c r="J47" s="462">
        <v>0</v>
      </c>
      <c r="K47" s="462">
        <v>0</v>
      </c>
      <c r="L47" s="462">
        <v>0</v>
      </c>
      <c r="M47" s="462">
        <v>0</v>
      </c>
      <c r="N47" s="16">
        <f>SUM(B47:M47)</f>
        <v>0</v>
      </c>
      <c r="O47" s="15">
        <f>217109.79+N47</f>
        <v>217109.79</v>
      </c>
      <c r="P47" s="482">
        <v>1000000</v>
      </c>
      <c r="Q47" s="16">
        <v>0</v>
      </c>
      <c r="R47" s="345">
        <f t="shared" si="12"/>
        <v>0.21710979</v>
      </c>
    </row>
    <row r="48" spans="1:18">
      <c r="A48" s="361" t="s">
        <v>227</v>
      </c>
      <c r="B48" s="477">
        <f>SUM(B44:B47)</f>
        <v>145545.39999999997</v>
      </c>
      <c r="C48" s="306">
        <f t="shared" ref="C48:M48" si="13">SUM(C44:C47)</f>
        <v>0</v>
      </c>
      <c r="D48" s="306">
        <f t="shared" si="13"/>
        <v>0</v>
      </c>
      <c r="E48" s="306">
        <f t="shared" si="13"/>
        <v>0</v>
      </c>
      <c r="F48" s="306">
        <f t="shared" si="13"/>
        <v>0</v>
      </c>
      <c r="G48" s="306">
        <f>SUM(G44:G47)</f>
        <v>0</v>
      </c>
      <c r="H48" s="306">
        <f t="shared" si="13"/>
        <v>0</v>
      </c>
      <c r="I48" s="306">
        <f t="shared" si="13"/>
        <v>0</v>
      </c>
      <c r="J48" s="306">
        <f t="shared" si="13"/>
        <v>0</v>
      </c>
      <c r="K48" s="306">
        <f t="shared" si="13"/>
        <v>0</v>
      </c>
      <c r="L48" s="306">
        <f t="shared" si="13"/>
        <v>0</v>
      </c>
      <c r="M48" s="306">
        <f t="shared" si="13"/>
        <v>0</v>
      </c>
      <c r="N48" s="514">
        <f>N47+N46+N45+N44</f>
        <v>145545.4</v>
      </c>
      <c r="O48" s="19">
        <f>SUM(O44:O47)</f>
        <v>6123462.8700000001</v>
      </c>
      <c r="P48" s="379">
        <f>SUM(P44:P47)</f>
        <v>18643600</v>
      </c>
      <c r="Q48" s="19">
        <f>SUM(Q44:Q47)</f>
        <v>0</v>
      </c>
      <c r="R48" s="347">
        <f>O48/P48</f>
        <v>0.32844852228110449</v>
      </c>
    </row>
    <row r="49" spans="1:18">
      <c r="A49" s="358"/>
      <c r="B49" s="476"/>
      <c r="C49" s="15"/>
      <c r="D49" s="15"/>
      <c r="E49" s="15"/>
      <c r="F49" s="150"/>
      <c r="G49" s="305"/>
      <c r="H49" s="150"/>
      <c r="I49" s="150"/>
      <c r="J49" s="150"/>
      <c r="K49" s="150"/>
      <c r="L49" s="150"/>
      <c r="M49" s="150"/>
      <c r="N49" s="16"/>
      <c r="O49" s="16"/>
      <c r="P49" s="380"/>
      <c r="Q49" s="16"/>
      <c r="R49" s="345"/>
    </row>
    <row r="50" spans="1:18" ht="15" customHeight="1" thickBot="1">
      <c r="A50" s="364" t="s">
        <v>228</v>
      </c>
      <c r="B50" s="477">
        <f>B48+B41+B37+B30+B24+B20+B16</f>
        <v>333856.49</v>
      </c>
      <c r="C50" s="306">
        <f>C48+C41+C37+C30+C24+C20+C16</f>
        <v>0</v>
      </c>
      <c r="D50" s="306">
        <f t="shared" ref="D50:M50" si="14">D48+D41+D37+D30+D24+D20+D16</f>
        <v>0</v>
      </c>
      <c r="E50" s="306">
        <f t="shared" si="14"/>
        <v>0</v>
      </c>
      <c r="F50" s="306">
        <f t="shared" si="14"/>
        <v>0</v>
      </c>
      <c r="G50" s="306">
        <f t="shared" si="14"/>
        <v>0</v>
      </c>
      <c r="H50" s="306">
        <f t="shared" si="14"/>
        <v>0</v>
      </c>
      <c r="I50" s="306">
        <f t="shared" si="14"/>
        <v>0</v>
      </c>
      <c r="J50" s="306">
        <f t="shared" si="14"/>
        <v>0</v>
      </c>
      <c r="K50" s="306">
        <f t="shared" si="14"/>
        <v>0</v>
      </c>
      <c r="L50" s="306">
        <f t="shared" si="14"/>
        <v>0</v>
      </c>
      <c r="M50" s="306">
        <f t="shared" si="14"/>
        <v>0</v>
      </c>
      <c r="N50" s="333">
        <f>N48+N41+N37+N30+N24+N20+N16</f>
        <v>333856.49</v>
      </c>
      <c r="O50" s="333">
        <f>O48+O41+O37+O30+O24+O20+O16</f>
        <v>18014601.420000002</v>
      </c>
      <c r="P50" s="381">
        <f>P48+P41+P37+P30+P24+P20+P16</f>
        <v>76689902</v>
      </c>
      <c r="Q50" s="381">
        <f>Q16+Q30+Q48</f>
        <v>0</v>
      </c>
      <c r="R50" s="350">
        <f>O50/P50</f>
        <v>0.23490187039227148</v>
      </c>
    </row>
    <row r="51" spans="1:18" ht="15" customHeight="1" thickTop="1">
      <c r="A51" s="365"/>
      <c r="B51" s="304"/>
      <c r="C51" s="150"/>
      <c r="D51" s="150"/>
      <c r="E51" s="150"/>
      <c r="F51" s="150"/>
      <c r="G51" s="155"/>
      <c r="H51" s="150"/>
      <c r="I51" s="150"/>
      <c r="J51" s="150"/>
      <c r="K51" s="150"/>
      <c r="L51" s="150"/>
      <c r="M51" s="150"/>
      <c r="N51" s="150"/>
      <c r="O51" s="150"/>
      <c r="P51" s="150" t="s">
        <v>56</v>
      </c>
      <c r="Q51" s="150"/>
      <c r="R51" s="351"/>
    </row>
    <row r="52" spans="1:18" ht="10.5" customHeight="1" thickBot="1">
      <c r="A52" s="219"/>
      <c r="B52" s="217"/>
      <c r="C52" s="153"/>
      <c r="D52" s="153"/>
      <c r="E52" s="153"/>
      <c r="F52" s="153"/>
      <c r="G52" s="153"/>
      <c r="H52" s="153"/>
      <c r="I52" s="153"/>
      <c r="J52" s="153"/>
      <c r="K52" s="153"/>
      <c r="L52" s="153"/>
      <c r="M52" s="153"/>
      <c r="N52" s="153"/>
      <c r="O52" s="153"/>
      <c r="P52" s="154"/>
      <c r="Q52" s="154"/>
      <c r="R52" s="352"/>
    </row>
    <row r="53" spans="1:18">
      <c r="A53" s="214"/>
      <c r="G53" s="286"/>
    </row>
    <row r="54" spans="1:18" ht="15">
      <c r="A54" s="308" t="s">
        <v>68</v>
      </c>
      <c r="B54" s="214"/>
      <c r="N54" s="433"/>
    </row>
    <row r="55" spans="1:18" ht="15">
      <c r="A55" s="308"/>
      <c r="B55" s="214"/>
      <c r="N55" s="433"/>
    </row>
    <row r="56" spans="1:18" ht="15">
      <c r="A56" s="262" t="s">
        <v>72</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179" ma:contentTypeDescription="Create a new document." ma:contentTypeScope="" ma:versionID="9ebfa8a87d8ff564edef810c10b99186">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b025e14d71ef77b4a01828c65782da0f"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7RCVYNPDDY4V-393752548-480</_dlc_DocId>
    <_dlc_DocIdUrl xmlns="9bf079a2-8838-46e4-a25e-754293e27338">
      <Url>https://sempra.sharepoint.com/teams/sdgecp/po/drps/_layouts/15/DocIdRedir.aspx?ID=7RCVYNPDDY4V-393752548-480</Url>
      <Description>7RCVYNPDDY4V-393752548-480</Description>
    </_dlc_DocIdUrl>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5F3276DD-421B-4C61-836D-71402BB1BCFE}">
  <ds:schemaRefs>
    <ds:schemaRef ds:uri="http://schemas.microsoft.com/sharepoint/events"/>
  </ds:schemaRefs>
</ds:datastoreItem>
</file>

<file path=customXml/itemProps3.xml><?xml version="1.0" encoding="utf-8"?>
<ds:datastoreItem xmlns:ds="http://schemas.openxmlformats.org/officeDocument/2006/customXml" ds:itemID="{0CCE35C2-E6B3-4711-B49D-BCDA780F8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9CE5A5-034A-44C5-96B1-1FD952A1C468}">
  <ds:schemaRefs>
    <ds:schemaRef ds:uri="http://schemas.microsoft.com/office/2006/documentManagement/types"/>
    <ds:schemaRef ds:uri="3186f035-0cdb-442a-b3b5-e1bf8686ba54"/>
    <ds:schemaRef ds:uri="http://purl.org/dc/elements/1.1/"/>
    <ds:schemaRef ds:uri="http://schemas.openxmlformats.org/package/2006/metadata/core-properties"/>
    <ds:schemaRef ds:uri="http://schemas.microsoft.com/office/infopath/2007/PartnerControls"/>
    <ds:schemaRef ds:uri="http://purl.org/dc/terms/"/>
    <ds:schemaRef ds:uri="9bf079a2-8838-46e4-a25e-754293e2733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Fund Shift Log</vt:lpstr>
      <vt:lpstr>DRP Expenditures</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cp:lastPrinted>2020-02-18T15:43:20Z</cp:lastPrinted>
  <dcterms:created xsi:type="dcterms:W3CDTF">2013-01-03T17:03:43Z</dcterms:created>
  <dcterms:modified xsi:type="dcterms:W3CDTF">2020-02-20T22:44:30Z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3c644787-9c96-475b-ae5a-44babad3d4f7</vt:lpwstr>
  </property>
  <property fmtid="{D5CDD505-2E9C-101B-9397-08002B2CF9AE}" pid="8" name="SharedWithUsers">
    <vt:lpwstr>212;#Valdivieso, Guillermo</vt:lpwstr>
  </property>
</Properties>
</file>