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empra-my.sharepoint.com/personal/kraagas_semprautilities_com/Documents/Regulatory Affairs/Wildfire Mitigation Plan/2020 Wildfire Mitigation Plan/"/>
    </mc:Choice>
  </mc:AlternateContent>
  <xr:revisionPtr revIDLastSave="921" documentId="8_{FB16823F-89AB-4B64-B55C-1F0324889162}" xr6:coauthVersionLast="41" xr6:coauthVersionMax="45" xr10:uidLastSave="{8C59BE0A-5314-402A-ACC0-7CD8C5C7B114}"/>
  <bookViews>
    <workbookView xWindow="-23148" yWindow="924" windowWidth="23256" windowHeight="12720" tabRatio="934" firstSheet="12" activeTab="27" xr2:uid="{978152E7-D563-4ECD-8E76-A12A09832CC7}"/>
  </bookViews>
  <sheets>
    <sheet name="Table 1" sheetId="1" r:id="rId1"/>
    <sheet name="Table 2" sheetId="3" r:id="rId2"/>
    <sheet name="Table 3" sheetId="4" r:id="rId3"/>
    <sheet name="Table 4" sheetId="5" r:id="rId4"/>
    <sheet name="Table 5" sheetId="6" r:id="rId5"/>
    <sheet name="Table 6" sheetId="7" r:id="rId6"/>
    <sheet name="Table 7" sheetId="8" r:id="rId7"/>
    <sheet name="Table 8" sheetId="9" r:id="rId8"/>
    <sheet name="Table 9" sheetId="10" r:id="rId9"/>
    <sheet name="Table 10" sheetId="11" r:id="rId10"/>
    <sheet name="Table 11" sheetId="12" r:id="rId11"/>
    <sheet name="Table 12" sheetId="13" r:id="rId12"/>
    <sheet name="Table 13" sheetId="14" r:id="rId13"/>
    <sheet name="Table 14" sheetId="15" r:id="rId14"/>
    <sheet name="Table 15" sheetId="16" r:id="rId15"/>
    <sheet name="Table 16" sheetId="17" r:id="rId16"/>
    <sheet name="Table 17" sheetId="18" r:id="rId17"/>
    <sheet name="Table 18" sheetId="19" r:id="rId18"/>
    <sheet name="Table 19" sheetId="20" r:id="rId19"/>
    <sheet name="Table 20" sheetId="21" r:id="rId20"/>
    <sheet name="Table 21" sheetId="24" r:id="rId21"/>
    <sheet name="Table22" sheetId="26" r:id="rId22"/>
    <sheet name="Table22a" sheetId="27" r:id="rId23"/>
    <sheet name="Table23" sheetId="28" r:id="rId24"/>
    <sheet name="Table23a" sheetId="29" r:id="rId25"/>
    <sheet name="Table24" sheetId="30" r:id="rId26"/>
    <sheet name="Table24a" sheetId="31" r:id="rId27"/>
    <sheet name="Table25" sheetId="32" r:id="rId28"/>
    <sheet name="Table25a" sheetId="33" r:id="rId29"/>
    <sheet name="Table26" sheetId="34" r:id="rId30"/>
    <sheet name="Table27" sheetId="35" r:id="rId31"/>
    <sheet name="Table28" sheetId="36" r:id="rId32"/>
    <sheet name="Table29" sheetId="37" r:id="rId33"/>
    <sheet name="Table 30" sheetId="38" r:id="rId34"/>
    <sheet name="Table 31" sheetId="25" r:id="rId35"/>
  </sheets>
  <definedNames>
    <definedName name="_xlnm.Print_Area" localSheetId="9">'Table 10'!$A$1:$H$8</definedName>
    <definedName name="_xlnm.Print_Area" localSheetId="10">'Table 11'!$A$1:$U$46</definedName>
    <definedName name="_xlnm.Print_Area" localSheetId="15">'Table 16'!$A$1:$F$28</definedName>
    <definedName name="_xlnm.Print_Area" localSheetId="17">'Table 18'!$A$1:$I$47</definedName>
    <definedName name="_xlnm.Print_Area" localSheetId="1">'Table 2'!$A$1:$J$39</definedName>
    <definedName name="_xlnm.Print_Area" localSheetId="34">'Table 31'!$A$1:$L$22</definedName>
    <definedName name="_xlnm.Print_Area" localSheetId="3">'Table 4'!$A$1:$E$42</definedName>
    <definedName name="_xlnm.Print_Area" localSheetId="4">'Table 5'!$A$1:$Q$10</definedName>
    <definedName name="_xlnm.Print_Area" localSheetId="5">'Table 6'!$A$1:$Q$10</definedName>
    <definedName name="_xlnm.Print_Area" localSheetId="8">'Table 9'!$A$1:$D$20</definedName>
    <definedName name="_xlnm.Print_Area" localSheetId="24">Table23a!$A$1:$H$107</definedName>
    <definedName name="_xlnm.Print_Area" localSheetId="28">Table25a!$A$1:$D$33</definedName>
    <definedName name="_xlnm.Print_Area" localSheetId="31">Table28!$A$1:$Q$27</definedName>
    <definedName name="_xlnm.Print_Titles" localSheetId="0">'Table 1'!$1:$3</definedName>
    <definedName name="_xlnm.Print_Titles" localSheetId="12">'Table 13'!$1:$2</definedName>
    <definedName name="_xlnm.Print_Titles" localSheetId="16">'Table 17'!$1:$3</definedName>
    <definedName name="_xlnm.Print_Titles" localSheetId="1">'Table 2'!$1:$4</definedName>
    <definedName name="_xlnm.Print_Titles" localSheetId="34">'Table 31'!$1:$3</definedName>
    <definedName name="_xlnm.Print_Titles" localSheetId="3">'Table 4'!$1:$2</definedName>
    <definedName name="_xlnm.Print_Titles" localSheetId="21">Table22!$1:$3</definedName>
    <definedName name="_xlnm.Print_Titles" localSheetId="23">Table23!$1:$3</definedName>
    <definedName name="_xlnm.Print_Titles" localSheetId="24">Table23a!$1:$1</definedName>
    <definedName name="_xlnm.Print_Titles" localSheetId="25">Table24!$1:$3</definedName>
    <definedName name="_xlnm.Print_Titles" localSheetId="26">Table24a!$1:$1</definedName>
    <definedName name="_xlnm.Print_Titles" localSheetId="27">Table25!$1:$3</definedName>
    <definedName name="_xlnm.Print_Titles" localSheetId="28">Table25a!$1:$1</definedName>
    <definedName name="_xlnm.Print_Titles" localSheetId="29">Table26!$1:$3</definedName>
    <definedName name="_xlnm.Print_Titles" localSheetId="30">Table27!$1:$3</definedName>
    <definedName name="_xlnm.Print_Titles" localSheetId="31">Table28!$1:$3</definedName>
    <definedName name="_xlnm.Print_Titles" localSheetId="32">Table29!$1:$3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1" i="34" l="1"/>
  <c r="E4" i="18"/>
  <c r="D4" i="18"/>
  <c r="C4" i="18"/>
  <c r="I4" i="18" l="1"/>
  <c r="J4" i="18"/>
  <c r="K4" i="18"/>
  <c r="L4" i="18"/>
  <c r="M4" i="18"/>
  <c r="N4" i="18"/>
  <c r="D47" i="19" l="1"/>
  <c r="E33" i="12"/>
  <c r="F33" i="12"/>
  <c r="L33" i="12" s="1"/>
  <c r="G33" i="12"/>
  <c r="H33" i="12"/>
  <c r="N33" i="12" s="1"/>
  <c r="D33" i="12"/>
  <c r="G27" i="12"/>
  <c r="H27" i="12"/>
  <c r="E27" i="12"/>
  <c r="F27" i="12"/>
  <c r="D27" i="12"/>
  <c r="J28" i="12"/>
  <c r="K28" i="12"/>
  <c r="L28" i="12"/>
  <c r="M28" i="12"/>
  <c r="N28" i="12"/>
  <c r="J29" i="12"/>
  <c r="K29" i="12"/>
  <c r="L29" i="12"/>
  <c r="M29" i="12"/>
  <c r="N29" i="12"/>
  <c r="J30" i="12"/>
  <c r="K30" i="12"/>
  <c r="J31" i="12"/>
  <c r="K31" i="12"/>
  <c r="L31" i="12"/>
  <c r="M31" i="12"/>
  <c r="N31" i="12"/>
  <c r="J32" i="12"/>
  <c r="K32" i="12"/>
  <c r="L32" i="12"/>
  <c r="M32" i="12"/>
  <c r="N32" i="12"/>
  <c r="J33" i="12"/>
  <c r="K33" i="12"/>
  <c r="M33" i="12"/>
  <c r="J35" i="12"/>
  <c r="K35" i="12"/>
  <c r="L35" i="12"/>
  <c r="M35" i="12"/>
  <c r="N35" i="12"/>
  <c r="J40" i="12"/>
  <c r="K40" i="12"/>
  <c r="M40" i="12"/>
  <c r="J41" i="12"/>
  <c r="K41" i="12"/>
  <c r="L41" i="12"/>
  <c r="N41" i="12"/>
  <c r="N42" i="12"/>
  <c r="J43" i="12"/>
  <c r="K43" i="12"/>
  <c r="L43" i="12"/>
  <c r="M43" i="12"/>
  <c r="N43" i="12"/>
  <c r="J45" i="12"/>
  <c r="K45" i="12"/>
  <c r="L45" i="12"/>
  <c r="M45" i="12"/>
  <c r="J5" i="12"/>
  <c r="K5" i="12"/>
  <c r="L5" i="12"/>
  <c r="M5" i="12"/>
  <c r="N5" i="12"/>
  <c r="J6" i="12"/>
  <c r="K6" i="12"/>
  <c r="L6" i="12"/>
  <c r="M6" i="12"/>
  <c r="N6" i="12"/>
  <c r="J7" i="12"/>
  <c r="K7" i="12"/>
  <c r="L7" i="12"/>
  <c r="M7" i="12"/>
  <c r="N7" i="12"/>
  <c r="J8" i="12"/>
  <c r="K8" i="12"/>
  <c r="L8" i="12"/>
  <c r="M8" i="12"/>
  <c r="N8" i="12"/>
  <c r="J9" i="12"/>
  <c r="K9" i="12"/>
  <c r="L9" i="12"/>
  <c r="M9" i="12"/>
  <c r="N9" i="12"/>
  <c r="J10" i="12"/>
  <c r="K10" i="12"/>
  <c r="L10" i="12"/>
  <c r="M10" i="12"/>
  <c r="N10" i="12"/>
  <c r="J11" i="12"/>
  <c r="K11" i="12"/>
  <c r="L11" i="12"/>
  <c r="M11" i="12"/>
  <c r="N11" i="12"/>
  <c r="J12" i="12"/>
  <c r="K12" i="12"/>
  <c r="L12" i="12"/>
  <c r="M12" i="12"/>
  <c r="N12" i="12"/>
  <c r="J13" i="12"/>
  <c r="K13" i="12"/>
  <c r="L13" i="12"/>
  <c r="M13" i="12"/>
  <c r="N13" i="12"/>
  <c r="J15" i="12"/>
  <c r="K15" i="12"/>
  <c r="L15" i="12"/>
  <c r="M15" i="12"/>
  <c r="N15" i="12"/>
  <c r="J16" i="12"/>
  <c r="K16" i="12"/>
  <c r="L16" i="12"/>
  <c r="M16" i="12"/>
  <c r="N16" i="12"/>
  <c r="J17" i="12"/>
  <c r="K17" i="12"/>
  <c r="L17" i="12"/>
  <c r="M17" i="12"/>
  <c r="N17" i="12"/>
  <c r="J18" i="12"/>
  <c r="K18" i="12"/>
  <c r="L18" i="12"/>
  <c r="M18" i="12"/>
  <c r="N18" i="12"/>
  <c r="J19" i="12"/>
  <c r="K19" i="12"/>
  <c r="L19" i="12"/>
  <c r="M19" i="12"/>
  <c r="N19" i="12"/>
  <c r="J20" i="12"/>
  <c r="K20" i="12"/>
  <c r="L20" i="12"/>
  <c r="M20" i="12"/>
  <c r="N20" i="12"/>
  <c r="J21" i="12"/>
  <c r="K21" i="12"/>
  <c r="L21" i="12"/>
  <c r="M21" i="12"/>
  <c r="N21" i="12"/>
  <c r="I28" i="12"/>
  <c r="I29" i="12"/>
  <c r="I30" i="12"/>
  <c r="I31" i="12"/>
  <c r="I32" i="12"/>
  <c r="I34" i="12"/>
  <c r="I35" i="12"/>
  <c r="I36" i="12"/>
  <c r="I37" i="12"/>
  <c r="I38" i="12"/>
  <c r="I39" i="12"/>
  <c r="I40" i="12"/>
  <c r="I41" i="12"/>
  <c r="I42" i="12"/>
  <c r="I43" i="12"/>
  <c r="I44" i="12"/>
  <c r="I45" i="12"/>
  <c r="I27" i="12"/>
  <c r="I5" i="12"/>
  <c r="O5" i="12" s="1"/>
  <c r="I6" i="12"/>
  <c r="O6" i="12" s="1"/>
  <c r="I7" i="12"/>
  <c r="O7" i="12" s="1"/>
  <c r="I8" i="12"/>
  <c r="O8" i="12" s="1"/>
  <c r="I9" i="12"/>
  <c r="O9" i="12" s="1"/>
  <c r="I10" i="12"/>
  <c r="I11" i="12"/>
  <c r="I12" i="12"/>
  <c r="I13" i="12"/>
  <c r="I15" i="12"/>
  <c r="I16" i="12"/>
  <c r="I17" i="12"/>
  <c r="I18" i="12"/>
  <c r="I19" i="12"/>
  <c r="I20" i="12"/>
  <c r="O20" i="12" s="1"/>
  <c r="I21" i="12"/>
  <c r="O21" i="12" s="1"/>
  <c r="I4" i="12"/>
  <c r="E14" i="12"/>
  <c r="K14" i="12" s="1"/>
  <c r="F14" i="12"/>
  <c r="G14" i="12"/>
  <c r="M14" i="12" s="1"/>
  <c r="H14" i="12"/>
  <c r="N14" i="12" s="1"/>
  <c r="D14" i="12"/>
  <c r="J14" i="12" s="1"/>
  <c r="D41" i="31"/>
  <c r="G36" i="30"/>
  <c r="I14" i="12" l="1"/>
  <c r="L14" i="12"/>
  <c r="I33" i="12"/>
  <c r="D31" i="19"/>
  <c r="D32" i="19"/>
  <c r="D33" i="19"/>
  <c r="D34" i="19"/>
  <c r="D35" i="19"/>
  <c r="D36" i="19"/>
  <c r="D38" i="19"/>
  <c r="D42" i="19"/>
  <c r="D43" i="19"/>
  <c r="D44" i="19"/>
  <c r="D45" i="19"/>
  <c r="D46" i="19"/>
  <c r="D30" i="19"/>
  <c r="D7" i="19"/>
  <c r="D8" i="19"/>
  <c r="D9" i="19"/>
  <c r="D10" i="19"/>
  <c r="D11" i="19"/>
  <c r="D12" i="19"/>
  <c r="D13" i="19"/>
  <c r="D14" i="19"/>
  <c r="D15" i="19"/>
  <c r="D16" i="19"/>
  <c r="D17" i="19"/>
  <c r="D18" i="19"/>
  <c r="D19" i="19"/>
  <c r="D20" i="19"/>
  <c r="D21" i="19"/>
  <c r="D22" i="19"/>
  <c r="D6" i="19"/>
  <c r="K4" i="12"/>
  <c r="L4" i="12"/>
  <c r="M4" i="12"/>
  <c r="N4" i="12"/>
  <c r="O4" i="12"/>
  <c r="J4" i="12"/>
  <c r="U13" i="12"/>
  <c r="O13" i="12" s="1"/>
  <c r="U14" i="12"/>
  <c r="O14" i="12" s="1"/>
  <c r="U15" i="12"/>
  <c r="O15" i="12" s="1"/>
  <c r="U16" i="12"/>
  <c r="O16" i="12" s="1"/>
  <c r="U17" i="12"/>
  <c r="O17" i="12" s="1"/>
  <c r="U18" i="12"/>
  <c r="O18" i="12" s="1"/>
  <c r="U19" i="12"/>
  <c r="O19" i="12" s="1"/>
  <c r="U11" i="12"/>
  <c r="O11" i="12" s="1"/>
  <c r="U12" i="12"/>
  <c r="O12" i="12" s="1"/>
  <c r="U10" i="12"/>
  <c r="O10" i="12" s="1"/>
  <c r="H6" i="19"/>
  <c r="I6" i="19"/>
  <c r="H30" i="19"/>
  <c r="F30" i="19"/>
  <c r="D61" i="34"/>
  <c r="D62" i="34"/>
  <c r="C61" i="34"/>
  <c r="C62" i="34"/>
  <c r="D60" i="34"/>
  <c r="C60" i="34"/>
  <c r="D13" i="34"/>
  <c r="D14" i="34"/>
  <c r="C13" i="34"/>
  <c r="C14" i="34"/>
  <c r="D12" i="34"/>
  <c r="C12" i="34"/>
  <c r="U43" i="12"/>
  <c r="O43" i="12" s="1"/>
  <c r="U44" i="12"/>
  <c r="U45" i="12"/>
  <c r="O45" i="12" s="1"/>
  <c r="K27" i="12"/>
  <c r="L27" i="12"/>
  <c r="M27" i="12"/>
  <c r="N27" i="12"/>
  <c r="J27" i="12"/>
  <c r="U28" i="12"/>
  <c r="O28" i="12" s="1"/>
  <c r="U29" i="12"/>
  <c r="O29" i="12" s="1"/>
  <c r="U30" i="12"/>
  <c r="O30" i="12" s="1"/>
  <c r="U31" i="12"/>
  <c r="O31" i="12" s="1"/>
  <c r="U32" i="12"/>
  <c r="O32" i="12" s="1"/>
  <c r="U33" i="12"/>
  <c r="U34" i="12"/>
  <c r="U35" i="12"/>
  <c r="O35" i="12" s="1"/>
  <c r="U36" i="12"/>
  <c r="U37" i="12"/>
  <c r="U38" i="12"/>
  <c r="U39" i="12"/>
  <c r="U40" i="12"/>
  <c r="O40" i="12" s="1"/>
  <c r="U41" i="12"/>
  <c r="O41" i="12" s="1"/>
  <c r="U42" i="12"/>
  <c r="O42" i="12" s="1"/>
  <c r="U27" i="12"/>
  <c r="O27" i="12" s="1"/>
  <c r="C13" i="32"/>
  <c r="C14" i="32"/>
  <c r="C12" i="32"/>
  <c r="C37" i="30"/>
  <c r="C39" i="30" s="1"/>
  <c r="O33" i="12" l="1"/>
  <c r="D33" i="33"/>
  <c r="C33" i="33"/>
  <c r="D25" i="33" l="1"/>
  <c r="C25" i="33"/>
  <c r="G26" i="37"/>
  <c r="G25" i="37"/>
  <c r="D24" i="37"/>
  <c r="D27" i="37" s="1"/>
  <c r="C24" i="37"/>
  <c r="G24" i="37" s="1"/>
  <c r="D20" i="37"/>
  <c r="C20" i="37"/>
  <c r="G20" i="37" s="1"/>
  <c r="D19" i="37"/>
  <c r="C19" i="37"/>
  <c r="D18" i="37"/>
  <c r="D21" i="37" s="1"/>
  <c r="C18" i="37"/>
  <c r="G17" i="37"/>
  <c r="G16" i="37"/>
  <c r="G6" i="36"/>
  <c r="G7" i="36"/>
  <c r="G8" i="36"/>
  <c r="C9" i="36"/>
  <c r="D9" i="36"/>
  <c r="G10" i="36"/>
  <c r="G11" i="36"/>
  <c r="G12" i="36"/>
  <c r="G13" i="36"/>
  <c r="G14" i="36"/>
  <c r="C15" i="36"/>
  <c r="D15" i="36"/>
  <c r="G18" i="36"/>
  <c r="G19" i="36"/>
  <c r="G20" i="36"/>
  <c r="C21" i="36"/>
  <c r="D21" i="36"/>
  <c r="G21" i="36" s="1"/>
  <c r="G15" i="36" l="1"/>
  <c r="G19" i="37"/>
  <c r="G9" i="36"/>
  <c r="G18" i="37"/>
  <c r="C21" i="37"/>
  <c r="G21" i="37" s="1"/>
  <c r="C27" i="37"/>
  <c r="G27" i="37" s="1"/>
  <c r="G12" i="35" l="1"/>
  <c r="G13" i="35"/>
  <c r="G14" i="35"/>
  <c r="C15" i="35"/>
  <c r="D15" i="35"/>
  <c r="D63" i="34"/>
  <c r="C63" i="34"/>
  <c r="G62" i="34"/>
  <c r="G61" i="34"/>
  <c r="G60" i="34"/>
  <c r="D57" i="34"/>
  <c r="C57" i="34"/>
  <c r="G56" i="34"/>
  <c r="G55" i="34"/>
  <c r="G54" i="34"/>
  <c r="G53" i="34"/>
  <c r="G52" i="34"/>
  <c r="G50" i="34"/>
  <c r="D49" i="34"/>
  <c r="C49" i="34"/>
  <c r="G49" i="34" s="1"/>
  <c r="D48" i="34"/>
  <c r="C48" i="34"/>
  <c r="D15" i="34"/>
  <c r="C15" i="34"/>
  <c r="G15" i="34" s="1"/>
  <c r="G14" i="34"/>
  <c r="G13" i="34"/>
  <c r="G12" i="34"/>
  <c r="G11" i="34"/>
  <c r="G10" i="34"/>
  <c r="D17" i="33"/>
  <c r="C17" i="33"/>
  <c r="D9" i="33"/>
  <c r="C9" i="33"/>
  <c r="G6" i="32"/>
  <c r="G7" i="32"/>
  <c r="G8" i="32"/>
  <c r="C9" i="32"/>
  <c r="D9" i="32"/>
  <c r="G10" i="32"/>
  <c r="G11" i="32"/>
  <c r="G12" i="32"/>
  <c r="G13" i="32"/>
  <c r="G14" i="32"/>
  <c r="C15" i="32"/>
  <c r="D15" i="32"/>
  <c r="G16" i="32"/>
  <c r="G17" i="32"/>
  <c r="G18" i="32"/>
  <c r="G19" i="32"/>
  <c r="G20" i="32"/>
  <c r="C21" i="32"/>
  <c r="D21" i="32"/>
  <c r="G24" i="32"/>
  <c r="G25" i="32"/>
  <c r="G26" i="32"/>
  <c r="C27" i="32"/>
  <c r="D27" i="32"/>
  <c r="D49" i="31"/>
  <c r="C49" i="31"/>
  <c r="C41" i="31"/>
  <c r="D33" i="31"/>
  <c r="C33" i="31"/>
  <c r="D25" i="31"/>
  <c r="C25" i="31"/>
  <c r="H9" i="31"/>
  <c r="G9" i="31"/>
  <c r="F9" i="31"/>
  <c r="E9" i="31"/>
  <c r="D9" i="31"/>
  <c r="C9" i="31"/>
  <c r="G15" i="35" l="1"/>
  <c r="D51" i="34"/>
  <c r="G57" i="34"/>
  <c r="C51" i="34"/>
  <c r="G63" i="34"/>
  <c r="G9" i="32"/>
  <c r="G21" i="32"/>
  <c r="G27" i="32"/>
  <c r="G15" i="32"/>
  <c r="G51" i="34"/>
  <c r="G48" i="34"/>
  <c r="D51" i="30" l="1"/>
  <c r="C51" i="30"/>
  <c r="G51" i="30" s="1"/>
  <c r="G50" i="30"/>
  <c r="G49" i="30"/>
  <c r="G48" i="30"/>
  <c r="D45" i="30"/>
  <c r="C45" i="30"/>
  <c r="G44" i="30"/>
  <c r="G43" i="30"/>
  <c r="G42" i="30"/>
  <c r="D39" i="30"/>
  <c r="G38" i="30"/>
  <c r="G37" i="30"/>
  <c r="D33" i="30"/>
  <c r="C33" i="30"/>
  <c r="G32" i="30"/>
  <c r="G31" i="30"/>
  <c r="G30" i="30"/>
  <c r="D27" i="30"/>
  <c r="C27" i="30"/>
  <c r="G27" i="30" s="1"/>
  <c r="G26" i="30"/>
  <c r="G25" i="30"/>
  <c r="G24" i="30"/>
  <c r="D21" i="30"/>
  <c r="C21" i="30"/>
  <c r="G20" i="30"/>
  <c r="G19" i="30"/>
  <c r="G18" i="30"/>
  <c r="D8" i="30"/>
  <c r="C8" i="30"/>
  <c r="G8" i="30" s="1"/>
  <c r="D7" i="30"/>
  <c r="C7" i="30"/>
  <c r="D6" i="30"/>
  <c r="D9" i="30" s="1"/>
  <c r="C6" i="30"/>
  <c r="D106" i="29"/>
  <c r="C106" i="29"/>
  <c r="D105" i="29"/>
  <c r="C105" i="29"/>
  <c r="D104" i="29"/>
  <c r="D107" i="29" s="1"/>
  <c r="C104" i="29"/>
  <c r="C107" i="29" s="1"/>
  <c r="D99" i="29"/>
  <c r="C99" i="29"/>
  <c r="D91" i="29"/>
  <c r="C90" i="29"/>
  <c r="C89" i="29"/>
  <c r="C88" i="29"/>
  <c r="C91" i="29" s="1"/>
  <c r="D82" i="29"/>
  <c r="C82" i="29"/>
  <c r="D81" i="29"/>
  <c r="C81" i="29"/>
  <c r="D80" i="29"/>
  <c r="C80" i="29"/>
  <c r="C83" i="29" s="1"/>
  <c r="H75" i="29"/>
  <c r="G75" i="29"/>
  <c r="F75" i="29"/>
  <c r="E75" i="29"/>
  <c r="D75" i="29"/>
  <c r="C75" i="29"/>
  <c r="D67" i="29"/>
  <c r="C67" i="29"/>
  <c r="D59" i="29"/>
  <c r="C59" i="29"/>
  <c r="D51" i="29"/>
  <c r="C51" i="29"/>
  <c r="D42" i="29"/>
  <c r="C42" i="29"/>
  <c r="D41" i="29"/>
  <c r="C41" i="29"/>
  <c r="D40" i="29"/>
  <c r="C40" i="29"/>
  <c r="C43" i="29" s="1"/>
  <c r="D35" i="29"/>
  <c r="C35" i="29"/>
  <c r="C27" i="29"/>
  <c r="E25" i="29"/>
  <c r="E27" i="29" s="1"/>
  <c r="D23" i="29"/>
  <c r="C23" i="29"/>
  <c r="F21" i="29"/>
  <c r="F23" i="29" s="1"/>
  <c r="E21" i="29"/>
  <c r="E23" i="29" s="1"/>
  <c r="F17" i="29"/>
  <c r="E17" i="29"/>
  <c r="D17" i="29"/>
  <c r="C17" i="29"/>
  <c r="D6" i="29"/>
  <c r="D9" i="29" s="1"/>
  <c r="C6" i="29"/>
  <c r="C9" i="29" s="1"/>
  <c r="D134" i="28"/>
  <c r="C134" i="28"/>
  <c r="G134" i="28" s="1"/>
  <c r="D133" i="28"/>
  <c r="C133" i="28"/>
  <c r="D132" i="28"/>
  <c r="D135" i="28" s="1"/>
  <c r="C132" i="28"/>
  <c r="G131" i="28"/>
  <c r="G130" i="28"/>
  <c r="D129" i="28"/>
  <c r="C129" i="28"/>
  <c r="G128" i="28"/>
  <c r="G127" i="28"/>
  <c r="G126" i="28"/>
  <c r="F123" i="28"/>
  <c r="E123" i="28"/>
  <c r="D121" i="28"/>
  <c r="G120" i="28"/>
  <c r="D120" i="28"/>
  <c r="D123" i="28" s="1"/>
  <c r="C120" i="28"/>
  <c r="C123" i="28" s="1"/>
  <c r="G123" i="28" s="1"/>
  <c r="G115" i="28"/>
  <c r="G114" i="28"/>
  <c r="F114" i="28"/>
  <c r="F117" i="28" s="1"/>
  <c r="E114" i="28"/>
  <c r="E117" i="28" s="1"/>
  <c r="D114" i="28"/>
  <c r="D117" i="28" s="1"/>
  <c r="C114" i="28"/>
  <c r="C117" i="28" s="1"/>
  <c r="G113" i="28"/>
  <c r="G112" i="28"/>
  <c r="G108" i="28"/>
  <c r="F108" i="28"/>
  <c r="F111" i="28" s="1"/>
  <c r="E108" i="28"/>
  <c r="E111" i="28" s="1"/>
  <c r="D108" i="28"/>
  <c r="D111" i="28" s="1"/>
  <c r="C108" i="28"/>
  <c r="C111" i="28" s="1"/>
  <c r="G107" i="28"/>
  <c r="G106" i="28"/>
  <c r="F105" i="28"/>
  <c r="E105" i="28"/>
  <c r="F99" i="28"/>
  <c r="E99" i="28"/>
  <c r="D99" i="28"/>
  <c r="C99" i="28"/>
  <c r="G98" i="28"/>
  <c r="G97" i="28"/>
  <c r="G96" i="28"/>
  <c r="F93" i="28"/>
  <c r="E93" i="28"/>
  <c r="F85" i="28"/>
  <c r="F87" i="28" s="1"/>
  <c r="E85" i="28"/>
  <c r="E87" i="28" s="1"/>
  <c r="F80" i="28"/>
  <c r="F81" i="28" s="1"/>
  <c r="E80" i="28"/>
  <c r="E81" i="28" s="1"/>
  <c r="D80" i="28"/>
  <c r="C80" i="28"/>
  <c r="G80" i="28" s="1"/>
  <c r="D79" i="28"/>
  <c r="C79" i="28"/>
  <c r="G79" i="28" s="1"/>
  <c r="D78" i="28"/>
  <c r="D81" i="28" s="1"/>
  <c r="C78" i="28"/>
  <c r="G78" i="28" s="1"/>
  <c r="G77" i="28"/>
  <c r="G76" i="28"/>
  <c r="D75" i="28"/>
  <c r="C75" i="28"/>
  <c r="G74" i="28"/>
  <c r="G73" i="28"/>
  <c r="G72" i="28"/>
  <c r="D69" i="28"/>
  <c r="C69" i="28"/>
  <c r="G69" i="28" s="1"/>
  <c r="G68" i="28"/>
  <c r="G67" i="28"/>
  <c r="G66" i="28"/>
  <c r="D62" i="28"/>
  <c r="C62" i="28"/>
  <c r="G62" i="28" s="1"/>
  <c r="D61" i="28"/>
  <c r="C61" i="28"/>
  <c r="G61" i="28" s="1"/>
  <c r="D60" i="28"/>
  <c r="D63" i="28" s="1"/>
  <c r="C60" i="28"/>
  <c r="C59" i="28"/>
  <c r="G59" i="28" s="1"/>
  <c r="G58" i="28"/>
  <c r="D57" i="28"/>
  <c r="C57" i="28"/>
  <c r="G56" i="28"/>
  <c r="G55" i="28"/>
  <c r="G54" i="28"/>
  <c r="G53" i="28"/>
  <c r="G52" i="28"/>
  <c r="D51" i="28"/>
  <c r="C51" i="28"/>
  <c r="G51" i="28" s="1"/>
  <c r="G50" i="28"/>
  <c r="G49" i="28"/>
  <c r="G48" i="28"/>
  <c r="G47" i="28"/>
  <c r="G46" i="28"/>
  <c r="D45" i="28"/>
  <c r="C45" i="28"/>
  <c r="G44" i="28"/>
  <c r="G43" i="28"/>
  <c r="G42" i="28"/>
  <c r="G41" i="28"/>
  <c r="G40" i="28"/>
  <c r="D38" i="28"/>
  <c r="C38" i="28"/>
  <c r="D37" i="28"/>
  <c r="C37" i="28"/>
  <c r="G37" i="28" s="1"/>
  <c r="D36" i="28"/>
  <c r="C36" i="28"/>
  <c r="C39" i="28" s="1"/>
  <c r="G35" i="28"/>
  <c r="G34" i="28"/>
  <c r="D33" i="28"/>
  <c r="C33" i="28"/>
  <c r="G33" i="28" s="1"/>
  <c r="G32" i="28"/>
  <c r="G31" i="28"/>
  <c r="G30" i="28"/>
  <c r="G29" i="28"/>
  <c r="G28" i="28"/>
  <c r="F26" i="28"/>
  <c r="E26" i="28"/>
  <c r="D26" i="28"/>
  <c r="C26" i="28"/>
  <c r="F25" i="28"/>
  <c r="F27" i="28" s="1"/>
  <c r="E25" i="28"/>
  <c r="E27" i="28" s="1"/>
  <c r="D25" i="28"/>
  <c r="C25" i="28"/>
  <c r="D24" i="28"/>
  <c r="D27" i="28" s="1"/>
  <c r="C24" i="28"/>
  <c r="C27" i="28" s="1"/>
  <c r="F20" i="28"/>
  <c r="E20" i="28"/>
  <c r="D20" i="28"/>
  <c r="C20" i="28"/>
  <c r="G20" i="28" s="1"/>
  <c r="F19" i="28"/>
  <c r="E19" i="28"/>
  <c r="D19" i="28"/>
  <c r="C19" i="28"/>
  <c r="G19" i="28" s="1"/>
  <c r="F18" i="28"/>
  <c r="E18" i="28"/>
  <c r="E21" i="28" s="1"/>
  <c r="D18" i="28"/>
  <c r="D21" i="28" s="1"/>
  <c r="C18" i="28"/>
  <c r="G18" i="28" s="1"/>
  <c r="G17" i="28"/>
  <c r="G16" i="28"/>
  <c r="D15" i="28"/>
  <c r="C15" i="28"/>
  <c r="G15" i="28" s="1"/>
  <c r="G14" i="28"/>
  <c r="G13" i="28"/>
  <c r="G12" i="28"/>
  <c r="G11" i="28"/>
  <c r="G10" i="28"/>
  <c r="D9" i="28"/>
  <c r="C9" i="28"/>
  <c r="G9" i="28" s="1"/>
  <c r="G8" i="28"/>
  <c r="G7" i="28"/>
  <c r="G6" i="28"/>
  <c r="D17" i="27"/>
  <c r="C17" i="27"/>
  <c r="D9" i="27"/>
  <c r="C9" i="27"/>
  <c r="G5" i="26"/>
  <c r="G6" i="26"/>
  <c r="G7" i="26"/>
  <c r="G8" i="26"/>
  <c r="G9" i="26"/>
  <c r="G10" i="26"/>
  <c r="G11" i="26"/>
  <c r="G12" i="26"/>
  <c r="G13" i="26"/>
  <c r="G14" i="26"/>
  <c r="C15" i="26"/>
  <c r="D15" i="26"/>
  <c r="G16" i="26"/>
  <c r="C17" i="26"/>
  <c r="G17" i="26" s="1"/>
  <c r="G18" i="26"/>
  <c r="G19" i="26"/>
  <c r="G20" i="26"/>
  <c r="C21" i="26"/>
  <c r="D21" i="26"/>
  <c r="C24" i="26"/>
  <c r="D24" i="26"/>
  <c r="D27" i="26" s="1"/>
  <c r="G25" i="26"/>
  <c r="G26" i="26"/>
  <c r="C27" i="26"/>
  <c r="G30" i="26"/>
  <c r="G31" i="26"/>
  <c r="G32" i="26"/>
  <c r="C33" i="26"/>
  <c r="D33" i="26"/>
  <c r="G33" i="26" s="1"/>
  <c r="G36" i="26"/>
  <c r="G37" i="26"/>
  <c r="G38" i="26"/>
  <c r="C39" i="26"/>
  <c r="D39" i="26"/>
  <c r="G48" i="26"/>
  <c r="G49" i="26"/>
  <c r="G50" i="26"/>
  <c r="C51" i="26"/>
  <c r="D51" i="26"/>
  <c r="G51" i="26"/>
  <c r="G15" i="24"/>
  <c r="G14" i="24"/>
  <c r="D8" i="24"/>
  <c r="C8" i="24"/>
  <c r="D7" i="24"/>
  <c r="C7" i="24"/>
  <c r="D6" i="24"/>
  <c r="D9" i="24" s="1"/>
  <c r="C6" i="24"/>
  <c r="C9" i="24" s="1"/>
  <c r="G5" i="24"/>
  <c r="G4" i="24"/>
  <c r="G129" i="28" l="1"/>
  <c r="G133" i="28"/>
  <c r="G7" i="30"/>
  <c r="G21" i="30"/>
  <c r="G33" i="30"/>
  <c r="G6" i="24"/>
  <c r="G117" i="28"/>
  <c r="G9" i="24"/>
  <c r="G7" i="24"/>
  <c r="G8" i="24"/>
  <c r="G39" i="26"/>
  <c r="G27" i="26"/>
  <c r="G24" i="26"/>
  <c r="G21" i="26"/>
  <c r="G15" i="26"/>
  <c r="F21" i="28"/>
  <c r="G25" i="28"/>
  <c r="G26" i="28"/>
  <c r="D39" i="28"/>
  <c r="G39" i="28" s="1"/>
  <c r="G38" i="28"/>
  <c r="G45" i="28"/>
  <c r="G57" i="28"/>
  <c r="C63" i="28"/>
  <c r="G63" i="28" s="1"/>
  <c r="G60" i="28"/>
  <c r="G75" i="28"/>
  <c r="G99" i="28"/>
  <c r="G132" i="28"/>
  <c r="D43" i="29"/>
  <c r="D83" i="29"/>
  <c r="G6" i="30"/>
  <c r="G39" i="30"/>
  <c r="G45" i="30"/>
  <c r="C9" i="30"/>
  <c r="G9" i="30" s="1"/>
  <c r="G27" i="28"/>
  <c r="G111" i="28"/>
  <c r="C81" i="28"/>
  <c r="G81" i="28" s="1"/>
  <c r="C135" i="28"/>
  <c r="G135" i="28" s="1"/>
  <c r="C21" i="28"/>
  <c r="G21" i="28" s="1"/>
  <c r="G24" i="28"/>
  <c r="G36" i="28"/>
  <c r="E21" i="3" l="1"/>
  <c r="F21" i="3"/>
  <c r="G21" i="3"/>
  <c r="H21" i="3"/>
  <c r="D21" i="3"/>
  <c r="G23" i="3" l="1"/>
</calcChain>
</file>

<file path=xl/sharedStrings.xml><?xml version="1.0" encoding="utf-8"?>
<sst xmlns="http://schemas.openxmlformats.org/spreadsheetml/2006/main" count="5748" uniqueCount="820">
  <si>
    <t>TABLE 1: Recent Performance on Progress Metrics, Last 5 Years</t>
  </si>
  <si>
    <t>Project Metric Name</t>
  </si>
  <si>
    <t>Annual Performance</t>
  </si>
  <si>
    <t>Unit(s)</t>
  </si>
  <si>
    <r>
      <t xml:space="preserve">Grid condition findings from inspection- Electric </t>
    </r>
    <r>
      <rPr>
        <b/>
        <i/>
        <sz val="11"/>
        <color rgb="FFFFFFFF"/>
        <rFont val="Calibri Light"/>
        <family val="2"/>
        <scheme val="major"/>
      </rPr>
      <t>Transmission</t>
    </r>
  </si>
  <si>
    <t xml:space="preserve">Issues in FTZ / FTZ Circuit Miles in 2015
Inspection Type         Level 1      Level 2      Level 3
Type 1                           0.000         0.013        0.000
Type 2                           0.000         0.298        0.009
Type 3                           0.000         0.010        0.000
Issues/ Total Circuit Miles in 2015
Inspection Type         Level 1       Level 2     Level 3 
Type 1                           0.001         0.035        0.000
Type 2                           0.002         0.533        0.031
Type 3                           0.003         0.034        0.000
</t>
  </si>
  <si>
    <t xml:space="preserve">Issues in FTZ / FTZ Circuit Miles in 2016
Inspection Type         Level 1      Level 2      Level 3
Type 1                           0.000         0.001        0.000
Type 2                           0.000         0.044        0.002
Type 3                           0.000         0.010        0.000
Issues/ Total Circuit Miles in 2016
Inspection Type         Level 1      Level 2      Level 3
Type 1                           0.000         0.021        0.000
Type 2                           0.001         0.156        0.032
Type 3                           0.001         0.023        0.000
</t>
  </si>
  <si>
    <t xml:space="preserve">Issues in FTZ / FTZ Circuit Miles in 2017
Inspection Type         Level 1      Level 2      Level 3
Type 1                           0.000         0.002        0.000
Type 2                           0.000         0.043        0.010
Type 3                           0.000         0.001        0.017
Issues/ Total Circuit Miles in 2017
Inspection Type         Level 1      Level 2      Level 3
Type 1                           0.001         0.006        0.000
Type 2                           0.001         0.226        0.033
Type 3                           0.001         0.009        0.009
</t>
  </si>
  <si>
    <t xml:space="preserve">Issues in HFTD / HFTD Circuit Miles in 2018
Inspection Type         Level 1      Level 2      Level 3
Type 1                           0.000         0.009        0.000
Type 2                           0.002         0.413        0.029
Type 3                           0.000         0.006        0.000
Issues/ Total Circuit Miles in 2018
Inspection Type         Level 1      Level 2      Level 3
Type 1                           0.000         0.005        0.000
Type 2                           0.004         0.445        0.032
Type 3                           0.000         0.005        0.000
</t>
  </si>
  <si>
    <t xml:space="preserve">Issues in HFTD / HFTD Circuit Miles in 2019
Inspection Type         Level 1      Level 2      Level 3
Type 1                           0.000         0.004        0.000
Type 2                           0.000         0.228        0.026
Type 3                           0.000         0.009        0.000
Issues/ Total Circuit Miles in 2019
Inspection Type         Level 1      Level 2      Level 3
Type 1                           0.000         0.004        0.000
Type 2                           0.001         0.338        0.026
Type 3                           0.004         0.013        0.000
</t>
  </si>
  <si>
    <t>Number of Level 1, 2, and 3 findings per mile of circuit in HFTD, and per total miles of circuit for each of the following inspection types:
1. Patrol inspections
2. Detailed inspections
3. Other inspection types</t>
  </si>
  <si>
    <r>
      <t xml:space="preserve">Grid condition findings from inspection- Electric </t>
    </r>
    <r>
      <rPr>
        <b/>
        <i/>
        <sz val="11"/>
        <color rgb="FFFFFFFF"/>
        <rFont val="Calibri Light"/>
        <family val="2"/>
        <scheme val="major"/>
      </rPr>
      <t>Distribution</t>
    </r>
  </si>
  <si>
    <t>Vegetation clearance findings from inspection</t>
  </si>
  <si>
    <t xml:space="preserve">
0.8%</t>
  </si>
  <si>
    <t xml:space="preserve">
0.7%</t>
  </si>
  <si>
    <t xml:space="preserve">
1.1%</t>
  </si>
  <si>
    <t xml:space="preserve">
0.1%</t>
  </si>
  <si>
    <t>Percentage of right-of-way with noncompliant clearance based on applicable rules and regulations at the time of inspection, as a percentage of all right-of-way inspected.
*NOTE: “Noncompliant” - a tree observed during inspection to have less than the minimum clearance required (“memo” tree)_x000D_
"All right-of-way inspected” – total number of inventory trees_x000D_
% of noncompliance = number of memo trees observed divided by the total number of inventory trees.</t>
  </si>
  <si>
    <t>Extent of grid modularization</t>
  </si>
  <si>
    <t>1. FTZ: 0.066
2. Non-FTZ: 0.059</t>
  </si>
  <si>
    <t>1. FTZ: 0.071
2. Non-FTZ: 0.092</t>
  </si>
  <si>
    <t>1. FTZ: 0.072
2. Non-FTZ: 0.094</t>
  </si>
  <si>
    <t>1. HFTD: 0.072
2. Non-HFTD: 0.099</t>
  </si>
  <si>
    <t>1. HFTD: 0.073
2. Non-HFTD: 0.100</t>
  </si>
  <si>
    <t>Number of sectionalizing devices per circuit mile plus number of automated grid control equipment in:
1. HFTD
2. Non-HFTD
*NOTE: Per Total number of sectionalizing positions (OH and UG, UG can have between 2-5 per device) divided by total miles (OH and UG)</t>
  </si>
  <si>
    <t>Data collection and reporting</t>
  </si>
  <si>
    <t>NA</t>
  </si>
  <si>
    <t xml:space="preserve">Missing Table 31 and 50% of table 9.  The submittal was calculated as providing data for 29.5/31 tables, or 95% complete.
</t>
  </si>
  <si>
    <t>TABLE 2: Recent Performance on Outcome Metrics, Annual and Normalized for Weather, Last 5 Years</t>
  </si>
  <si>
    <t>Metric Type</t>
  </si>
  <si>
    <t>#</t>
  </si>
  <si>
    <t>Outcome metric name</t>
  </si>
  <si>
    <t>Annual performance</t>
  </si>
  <si>
    <t>Comments</t>
  </si>
  <si>
    <t>1. Near misses</t>
  </si>
  <si>
    <t>1.a.</t>
  </si>
  <si>
    <t># of all events  that could result in ignition, by type according to utility-provided list (Total)</t>
  </si>
  <si>
    <t>Number per year</t>
  </si>
  <si>
    <t>(Such as unplanned outages, faults, conventional blown fuses, etc.)</t>
  </si>
  <si>
    <t>1.b.</t>
  </si>
  <si>
    <t xml:space="preserve"> # of all events  that could result in ignition, by type according to utility-provided list (Normalized)</t>
  </si>
  <si>
    <t>Number per RFW circuit mile day per year</t>
  </si>
  <si>
    <t>1.c.</t>
  </si>
  <si>
    <t>Number of wires down (total)</t>
  </si>
  <si>
    <t>Number of wires down per year</t>
  </si>
  <si>
    <t>System wide</t>
  </si>
  <si>
    <t>1.d.</t>
  </si>
  <si>
    <t>Number of wires down(normalized)</t>
  </si>
  <si>
    <t>2. Utility inspection findings</t>
  </si>
  <si>
    <t>2.a.</t>
  </si>
  <si>
    <t>Number of Level 1 findings that could increase the probability of ignition discovered per circuit mile inspected</t>
  </si>
  <si>
    <t>0.010 (ED)</t>
  </si>
  <si>
    <t>0.013(ED)</t>
  </si>
  <si>
    <t>0.004(ED)</t>
  </si>
  <si>
    <t>0.009 (ED)</t>
  </si>
  <si>
    <t>0.003(ED)</t>
  </si>
  <si>
    <t>Average number of Level 1 findings that could increase the probability of ignition discovered by all inspections per circuit mile per year</t>
  </si>
  <si>
    <t>Substation findings do not increase the probability of ignitions per circuit mile; Substation inspections are conducted primarily for reliability, they have incidental wildfire mitigation benefits.</t>
  </si>
  <si>
    <t>2.b.</t>
  </si>
  <si>
    <t>Number of Level 2 findings</t>
  </si>
  <si>
    <t>0.483 (ED)</t>
  </si>
  <si>
    <t>0.396(ED)</t>
  </si>
  <si>
    <t>0.229(ED)</t>
  </si>
  <si>
    <t>0.282(ED)</t>
  </si>
  <si>
    <t>0.253(ED)</t>
  </si>
  <si>
    <t xml:space="preserve">Average number of Level 2 findings </t>
  </si>
  <si>
    <t>2.c.</t>
  </si>
  <si>
    <t xml:space="preserve">Number of Level 3 findings </t>
  </si>
  <si>
    <t xml:space="preserve">Average number of Level 3 findings </t>
  </si>
  <si>
    <t>3. Customer hours of PSPS and other</t>
  </si>
  <si>
    <t>3.a.</t>
  </si>
  <si>
    <t>Customer hours of planned outages including PSPS (total)</t>
  </si>
  <si>
    <t>Total customer hours of planned outages per year</t>
  </si>
  <si>
    <t>3.b.</t>
  </si>
  <si>
    <t>Customer hours of planned outages including PSPS (normalized)</t>
  </si>
  <si>
    <t>Total customer hours of planned outages per RFW circuit mile day per year</t>
  </si>
  <si>
    <t>3.c.</t>
  </si>
  <si>
    <t>Customer hours of unplanned outages, not including PSPS (total)</t>
  </si>
  <si>
    <t>Total customer hours of unplanned outages per year</t>
  </si>
  <si>
    <t>3.d.</t>
  </si>
  <si>
    <t>Customer hours of unplanned outages, not including PSPS (normalized)</t>
  </si>
  <si>
    <t>Total customer hours of unplanned outages per RFW circuit mile day per year</t>
  </si>
  <si>
    <t>3.e.</t>
  </si>
  <si>
    <t>Increase in System Average Interruption Duration Index (SAIDI)</t>
  </si>
  <si>
    <t>Change in minutes compared to the previous year</t>
  </si>
  <si>
    <t>4. Utility ignited wildfire fatalities</t>
  </si>
  <si>
    <t>4.a.</t>
  </si>
  <si>
    <t>Fatalities due to utility-ignited wildfire (total)</t>
  </si>
  <si>
    <t>Number of fatalities per year</t>
  </si>
  <si>
    <t xml:space="preserve">SDG&amp;E is unaware of any utility-ignited wildfire fatalities resulting from utility wildfire mitigation initiatives in the period 2015-2019.  </t>
  </si>
  <si>
    <t>4.b.</t>
  </si>
  <si>
    <t>Fatalities due to utility-ignited wildfire (normalized)</t>
  </si>
  <si>
    <t>Number of fatalities per RFW circuit mile day per year</t>
  </si>
  <si>
    <t>5. Accidental deaths resulting from utility wildfire mitigation initiatives</t>
  </si>
  <si>
    <t>5.a.</t>
  </si>
  <si>
    <t>Deaths due to utility wildfire mitigation activities (total)</t>
  </si>
  <si>
    <t xml:space="preserve">SDG&amp;E is unaware of any accidental deaths resulting from utility wildfire mitigation initiatives in the period 2015-2019.  </t>
  </si>
  <si>
    <t>6. OSHA-reportable injuries from utility wildfire mitigation initiatives</t>
  </si>
  <si>
    <t>6.a.</t>
  </si>
  <si>
    <t>OSHA-reportable injuries due to utility wildfire mitigation activities (total)</t>
  </si>
  <si>
    <t>Number of OSHA-reportable injuries per year</t>
  </si>
  <si>
    <t>One contractor OSHA-reportable injury in 2016 related to the FiRM (Fire Risk Mitigation) project. It is the responsibility of the contractor to report the incident to OSHA; SDG&amp;E has no documentation to confirm such a report.</t>
  </si>
  <si>
    <t>6.b.</t>
  </si>
  <si>
    <t>OSHA-reportable injuries due to utility wildfire mitigation activities (normalized)</t>
  </si>
  <si>
    <t>Number of OSHA-reportable injuries per year per 1000 line miles of grid</t>
  </si>
  <si>
    <t>7. Value of assets destroyed by utility-ignited wildfire, listed by asset type</t>
  </si>
  <si>
    <t>7.a.</t>
  </si>
  <si>
    <t>Value of assets destroyed by utility-ignited wildfire (total)</t>
  </si>
  <si>
    <t>Dollars of damage or destruction per year</t>
  </si>
  <si>
    <t>Value is a round number including material only for one wood 45' pole, and 25kVA transformer.  Rounded up, to compenstate for additonal conductor and connectors.</t>
  </si>
  <si>
    <t>7.b.</t>
  </si>
  <si>
    <t>Value of assets destroyed by utility-ignited wildfire (normalized)</t>
  </si>
  <si>
    <t>8. Structures damaged or destroyed by utility-ignited wildfire</t>
  </si>
  <si>
    <t>8.a.</t>
  </si>
  <si>
    <t>Number of structures destroyed by utility-ignited wildfire (total)</t>
  </si>
  <si>
    <t>Number of structures destroyed per year</t>
  </si>
  <si>
    <t>8.b.</t>
  </si>
  <si>
    <t>Number of structures destroyed by utility-ignited wildfire (normalized)</t>
  </si>
  <si>
    <t>Number of structures destroyed per RFW circuit mile day per year</t>
  </si>
  <si>
    <t>9. Acreage burned by utility-ignited wildfire</t>
  </si>
  <si>
    <t>9.a.</t>
  </si>
  <si>
    <t>Acreage burned by utility-ignited wildfire (total)</t>
  </si>
  <si>
    <t>Acres burned per year</t>
  </si>
  <si>
    <t>If a fire meets the CPUC definitiof for recorable fire but does not grow beyond .25 acres it was assumed to be .1 acres for consistency</t>
  </si>
  <si>
    <t>9.b.</t>
  </si>
  <si>
    <t>Acreage burned by utility-ignited wildfire (normalized)</t>
  </si>
  <si>
    <t>Acres burned per RFW circuit mile day per year</t>
  </si>
  <si>
    <t>10. Number of utility wildfire ignitions</t>
  </si>
  <si>
    <t>10.a.</t>
  </si>
  <si>
    <t>Number of ignitions (total) according to existing ignition data reporting requirement</t>
  </si>
  <si>
    <t>10.b.</t>
  </si>
  <si>
    <t>Number of ignitions (normalized)</t>
  </si>
  <si>
    <t>10.c.</t>
  </si>
  <si>
    <t>Number of ignitions in HFTD (subtotal)</t>
  </si>
  <si>
    <t>Number in HFTD per year</t>
  </si>
  <si>
    <t>10.c.ii.</t>
  </si>
  <si>
    <t>Number of ignitions in HFTD Tier 2</t>
  </si>
  <si>
    <t>Number in HFTD Tier 2 per year</t>
  </si>
  <si>
    <t>10.c.iii.</t>
  </si>
  <si>
    <t>Number of ignitions in HFTD Tier 3</t>
  </si>
  <si>
    <t>Number in HFTD Tier 3 per year</t>
  </si>
  <si>
    <t>10.d.</t>
  </si>
  <si>
    <t>Number of ignitions in HFTD (subtotal, normalized)</t>
  </si>
  <si>
    <t>Number in HFTD per RFW circuit mile day per year</t>
  </si>
  <si>
    <t>10.d.ii.</t>
  </si>
  <si>
    <t>Number of ignitions in HFTD Tier 2 (normalized)</t>
  </si>
  <si>
    <t>Number in HFTD Tier 2 per RFW circuit mile day per year</t>
  </si>
  <si>
    <t>10.d.iii.</t>
  </si>
  <si>
    <t>Number of ignitions in HFTD Tier 3 (normalized)</t>
  </si>
  <si>
    <t>Number in HFTD Tier 3 per RFW circuit mile day per year</t>
  </si>
  <si>
    <t>10.e.</t>
  </si>
  <si>
    <t>Number of ignitions in non-HFTD (subtotal)</t>
  </si>
  <si>
    <t>Number in non-HFTD per year</t>
  </si>
  <si>
    <t>10.f.</t>
  </si>
  <si>
    <t>Number of ignitions in non-HFTD (normalized)</t>
  </si>
  <si>
    <t>Number in non-HFTD per RFW circuit mile day per year</t>
  </si>
  <si>
    <t>11. Critical infrastructure impacted</t>
  </si>
  <si>
    <t>11.a.</t>
  </si>
  <si>
    <t>Critical infrastructure impacted by PSPS</t>
  </si>
  <si>
    <t>Number of critical infrastructure (in accordance with D.19-05-042) locations impacted per hour multiplied by hours offline per year</t>
  </si>
  <si>
    <t>11.b.</t>
  </si>
  <si>
    <t>Critical infrastructure impacted by PSPS (normalized)</t>
  </si>
  <si>
    <t>Number of critical infrastructure (in accordance with D.19-05-042) locations impacted per hour multiplied by hours offline per RFW circuit mile day per year</t>
  </si>
  <si>
    <t>TABLE 3: List and Description of Additional Metrics, Last 5 Years</t>
  </si>
  <si>
    <t>Metric</t>
  </si>
  <si>
    <t>Performance</t>
  </si>
  <si>
    <t>Units</t>
  </si>
  <si>
    <t>Third-party validation</t>
  </si>
  <si>
    <t>Underlying assumptions</t>
  </si>
  <si>
    <t>Number of elevated or extreme FPI and RFW days</t>
  </si>
  <si>
    <t>FPI: 108
RFW: 4</t>
  </si>
  <si>
    <t>FPI: 138
RFW: 20</t>
  </si>
  <si>
    <t>FPI: 169
RFW: 21</t>
  </si>
  <si>
    <t>FPI: 182
RFW: 12</t>
  </si>
  <si>
    <t>FPI: 137
RFW: 12</t>
  </si>
  <si>
    <t>Days</t>
  </si>
  <si>
    <t>N/A</t>
  </si>
  <si>
    <t xml:space="preserve">
Day ends at 2359L (11:59pm) and begins at 0000L (midnight)</t>
  </si>
  <si>
    <t>Vegetation Caused Ignitions in HFTD</t>
  </si>
  <si>
    <t xml:space="preserve">FPI: 3
RFW:0 </t>
  </si>
  <si>
    <t>FPI: 1
RFW: 0</t>
  </si>
  <si>
    <t>FPI: 2
RFW: 1</t>
  </si>
  <si>
    <t>FPI: 0
RFW: 0</t>
  </si>
  <si>
    <t>Vegetation Caused Outages within HFTD</t>
  </si>
  <si>
    <t>FPI: 3
RFW: 0</t>
  </si>
  <si>
    <t>FPI: 7
RFW: 0</t>
  </si>
  <si>
    <t>FPI: 8
RFW: 2</t>
  </si>
  <si>
    <t>FPI: 4
RFW: 3</t>
  </si>
  <si>
    <t>FPI: 9
RFW: 0</t>
  </si>
  <si>
    <t>Equipment Caused Ignitions within HFTD</t>
  </si>
  <si>
    <t>FPI: 2
RFW: 0</t>
  </si>
  <si>
    <t>FPI: 5
RFW: 0</t>
  </si>
  <si>
    <t>FPI: 4
RFW: 2</t>
  </si>
  <si>
    <t>Overhead Faults on Circuits within HFTD</t>
  </si>
  <si>
    <t>FPI: 121
RFW: 0</t>
  </si>
  <si>
    <t>FPI: 110
RFW: 15</t>
  </si>
  <si>
    <t>FPI: 145
RFW: 29</t>
  </si>
  <si>
    <t>FPI: 134
RFW: 28</t>
  </si>
  <si>
    <t>FPI: 125
RFW:17</t>
  </si>
  <si>
    <t>Energized Wire Down Events within HFTD</t>
  </si>
  <si>
    <t>FPI:7
RFW: 1</t>
  </si>
  <si>
    <t>FPI:8
RFW: 1</t>
  </si>
  <si>
    <t>Number of Non-CALFIRE Rated Fuse Operations within HFTD</t>
  </si>
  <si>
    <t>FPI: 96
RFW: 1</t>
  </si>
  <si>
    <t>FPI: 108
RFW:24</t>
  </si>
  <si>
    <t>FPI: 115
RFW: 16</t>
  </si>
  <si>
    <t>FPI: 131
RFW: 14</t>
  </si>
  <si>
    <t>FPI: 83
RFW: 9</t>
  </si>
  <si>
    <t>TABLE 4: List and Description of Program Targets, Last 5 Years</t>
  </si>
  <si>
    <t>Program target</t>
  </si>
  <si>
    <t>2019 performance</t>
  </si>
  <si>
    <t>Changed operating procedures on days with elevated or higher FPI</t>
  </si>
  <si>
    <t>FPI elevated or higher</t>
  </si>
  <si>
    <t>Target is 100% of elevated or higher FPI days. Number of elevated or higher FPI days will vary depending on weather conditions.</t>
  </si>
  <si>
    <t>Disable reclosing and enable sensitive protections on reclosers within HFTD on days with elevated or higher FPI</t>
  </si>
  <si>
    <t>Electric crews accompanied by fire suppression crews on days with elevated or higher FPI. On extreme days, certain activities are stopped altogether within the HFTD.</t>
  </si>
  <si>
    <t>Wildfire infrastructure teams join SDG&amp;E electric crews to provide fire suppression capabilities during high risk work on days with elevated or higher FPI. Support re-energization during PSPS events.</t>
  </si>
  <si>
    <t>Three aerial fire suppression resources available year-round</t>
  </si>
  <si>
    <t>water drops</t>
  </si>
  <si>
    <t>gallons of water</t>
  </si>
  <si>
    <t>Perform fuel management on BLM, priority 13, and tier 3 including CNF poles</t>
  </si>
  <si>
    <t>poles treated</t>
  </si>
  <si>
    <t>10,000 QA/QC Distribution System Inspections</t>
  </si>
  <si>
    <t>poles inspected</t>
  </si>
  <si>
    <t>47,850 Detailed Distribution System Inspections</t>
  </si>
  <si>
    <t>300 Substation System Inspections</t>
  </si>
  <si>
    <t>substations inspected</t>
  </si>
  <si>
    <t>6,730 Transmission System Inspections</t>
  </si>
  <si>
    <t>OH structures inspected</t>
  </si>
  <si>
    <t>10 miles of OH transmission hardened</t>
  </si>
  <si>
    <t>miles hardened</t>
  </si>
  <si>
    <t>85 miles of OH distribution hardened</t>
  </si>
  <si>
    <t>1.25 miles underground line segments</t>
  </si>
  <si>
    <t>miles undergrounded</t>
  </si>
  <si>
    <t>68 miles hardened within Cleveland National Forest</t>
  </si>
  <si>
    <t xml:space="preserve">85 miles of high-risk conductor replaced with high tensile strength conductor </t>
  </si>
  <si>
    <t>miles replaced</t>
  </si>
  <si>
    <t>700 poles hardened</t>
  </si>
  <si>
    <t>poles hardened</t>
  </si>
  <si>
    <t>2250 expulsion fuses replaced</t>
  </si>
  <si>
    <t>fuses replaced</t>
  </si>
  <si>
    <t>500 hotline clamps replaced</t>
  </si>
  <si>
    <t>hotline clamps replaced</t>
  </si>
  <si>
    <t>5.7 miles of wire safety enhancements</t>
  </si>
  <si>
    <t>miles enhanced</t>
  </si>
  <si>
    <t>8 circuits enabled with falling conductor protection</t>
  </si>
  <si>
    <t>circuits enabled</t>
  </si>
  <si>
    <t>7 switches installed</t>
  </si>
  <si>
    <t>switches installed</t>
  </si>
  <si>
    <t>Replace all poles found through the GO195 visual and instrusive inspections within the HFTD</t>
  </si>
  <si>
    <t>poles replaced</t>
  </si>
  <si>
    <t>Fit all 9 Community Resource Centers with a transfer switch to facilitate backup generation</t>
  </si>
  <si>
    <t>CRC transfer switches installed</t>
  </si>
  <si>
    <t>Offer backup generators to all identified medical baseline customers and train them on its use (79 identified)</t>
  </si>
  <si>
    <t>medical baseline customers offered backup generators</t>
  </si>
  <si>
    <t xml:space="preserve">The goal of the program was to offer generators and training on generator use to MBL customers. 14 MBL customers while offered, chose not to participate. </t>
  </si>
  <si>
    <t>Maintain inventory of trees within the HFTD</t>
  </si>
  <si>
    <t>trees in inventory</t>
  </si>
  <si>
    <t>Enhanced 25-foot post prune clearance or complete removal of 81,000 trees along 28 circuits</t>
  </si>
  <si>
    <t>Circuits with enhanced 25-foot clearance complete</t>
  </si>
  <si>
    <t>Complete Quality Assurance of HFTD audits</t>
  </si>
  <si>
    <t>percent complete</t>
  </si>
  <si>
    <t>Hazard tree removal</t>
  </si>
  <si>
    <t>trees removed</t>
  </si>
  <si>
    <t>Hazard tree replacement</t>
  </si>
  <si>
    <t>trees replaced</t>
  </si>
  <si>
    <t>Mechanical brushing and chemical applications</t>
  </si>
  <si>
    <t>Re-clear cycle</t>
  </si>
  <si>
    <t>Provide electric equipment training to CalFire personnel through joint inspections</t>
  </si>
  <si>
    <t>joint inspections</t>
  </si>
  <si>
    <t>Expand SDG&amp;E's weather network</t>
  </si>
  <si>
    <t>total weather stations</t>
  </si>
  <si>
    <t>Publish fire simulations</t>
  </si>
  <si>
    <t>fire simulations published</t>
  </si>
  <si>
    <t>Install 500 wireless fault indicators</t>
  </si>
  <si>
    <t>wireless fault indicators installed</t>
  </si>
  <si>
    <t>Add 13 weather stations</t>
  </si>
  <si>
    <t>weather stations</t>
  </si>
  <si>
    <t>Install software enhancements on weather stations to allow 30 second reads</t>
  </si>
  <si>
    <t>weather stations with software installed</t>
  </si>
  <si>
    <t>Utilize PSPS as a last resort mitigation during the most extreme weather events of the year</t>
  </si>
  <si>
    <t xml:space="preserve">events including activations of PSPS protocols </t>
  </si>
  <si>
    <t>Implement notification in five languages for potential and impending PSPS events utilizing multiple channels of communication</t>
  </si>
  <si>
    <t>languages implemented for PSPS notifications</t>
  </si>
  <si>
    <t>TABLE 5: Accidental Deaths Due to Utility Wildfire Mitigation Initiatives, Last 5 Years</t>
  </si>
  <si>
    <t>Activity</t>
  </si>
  <si>
    <t>Victim</t>
  </si>
  <si>
    <t>Total</t>
  </si>
  <si>
    <t>Full-time employee</t>
  </si>
  <si>
    <t>Contractor</t>
  </si>
  <si>
    <t>Member of public</t>
  </si>
  <si>
    <t>Year</t>
  </si>
  <si>
    <t>Inspection</t>
  </si>
  <si>
    <t>Vegetation management</t>
  </si>
  <si>
    <t>Utility fuel management</t>
  </si>
  <si>
    <t>Grid hardening</t>
  </si>
  <si>
    <t>Other</t>
  </si>
  <si>
    <t>TABLE 6: OSHA-Reportable Injuries Due to Utility Wildfire Mitigation Initiatives, Last 5 Years</t>
  </si>
  <si>
    <t>TABLE 7: Methodology for Potential Impact of Ignitions</t>
  </si>
  <si>
    <t>List of all data inputs used in impact simulation</t>
  </si>
  <si>
    <t>Sources of data inputs</t>
  </si>
  <si>
    <t>Data selection and treatment methodologies</t>
  </si>
  <si>
    <t>Assumptions, including SME input</t>
  </si>
  <si>
    <t>Equation(s), functions, or other algorithms used to obtain output</t>
  </si>
  <si>
    <t>Output type(s), e.g., wind speed model</t>
  </si>
  <si>
    <t>Wind Speed</t>
  </si>
  <si>
    <t>Wx Modeling</t>
  </si>
  <si>
    <t>NAM, WRF, 2km grid</t>
  </si>
  <si>
    <t xml:space="preserve">Best availiable Wx data </t>
  </si>
  <si>
    <t>WRF</t>
  </si>
  <si>
    <t>hourly for 84 hours - 2km grid in MPH</t>
  </si>
  <si>
    <t>Wx = Weather
NAM = North American Model
WRF = Weather Research &amp; Forecasting Model</t>
  </si>
  <si>
    <t>Wind Direction</t>
  </si>
  <si>
    <t>hourly for 84 hours - 2km grid in degrees</t>
  </si>
  <si>
    <t>Temperature</t>
  </si>
  <si>
    <t>hourly for 84 hours - 2km grid in F</t>
  </si>
  <si>
    <t>Relative Humidity</t>
  </si>
  <si>
    <t>hourly for 84 hours - 2km grid in %</t>
  </si>
  <si>
    <t>Moisture  1hr (%)</t>
  </si>
  <si>
    <t>FM Modeling</t>
  </si>
  <si>
    <t>NAM, WRF, Nelson, 2km grid</t>
  </si>
  <si>
    <t>Nelson is leading practice</t>
  </si>
  <si>
    <t>Nelson Fuel Model</t>
  </si>
  <si>
    <t>FM = Fuel Moisture</t>
  </si>
  <si>
    <t>Moisture  10hr (%)</t>
  </si>
  <si>
    <t>Moisture  100hr (%)</t>
  </si>
  <si>
    <t>Live Fuel Moisture (%)</t>
  </si>
  <si>
    <t>NAM, WRF, AI, 2km grid</t>
  </si>
  <si>
    <t>Leading state-of-science</t>
  </si>
  <si>
    <t>Custom AI</t>
  </si>
  <si>
    <t>Greeness</t>
  </si>
  <si>
    <t>NLDAS, 2km grid</t>
  </si>
  <si>
    <t>Custom Regression</t>
  </si>
  <si>
    <t>Energy Release Component</t>
  </si>
  <si>
    <t>NFDRS16 is leading practice</t>
  </si>
  <si>
    <t>NFDRS</t>
  </si>
  <si>
    <t>hourly for 84 hours - 2km grid in btu/sqft</t>
  </si>
  <si>
    <t>FB = Fire Behavior</t>
  </si>
  <si>
    <t>Flame Length</t>
  </si>
  <si>
    <t>FB Modeling</t>
  </si>
  <si>
    <t>Wildfire Analyst</t>
  </si>
  <si>
    <t>Rothermel</t>
  </si>
  <si>
    <t>hourly for 84 hours - 2km grid in ft</t>
  </si>
  <si>
    <t>Surface Fuel Height</t>
  </si>
  <si>
    <t>Remote Sensing</t>
  </si>
  <si>
    <t>Satellite Image Analysis</t>
  </si>
  <si>
    <t>static 25ft grid</t>
  </si>
  <si>
    <t>Slope</t>
  </si>
  <si>
    <t>Rate of Spread</t>
  </si>
  <si>
    <t>hourly for 84 hours - 2km grid in (ch/h)</t>
  </si>
  <si>
    <t>Fuel Type</t>
  </si>
  <si>
    <t>Arrival Time</t>
  </si>
  <si>
    <t>hourly for 84 hours - 2km grid in (h)</t>
  </si>
  <si>
    <t>Flame Intensity</t>
  </si>
  <si>
    <t>hourly for 84 hours - 2km grid in (btu/ft/s)</t>
  </si>
  <si>
    <t>Structures</t>
  </si>
  <si>
    <t>Land Use Model</t>
  </si>
  <si>
    <t>Most recent</t>
  </si>
  <si>
    <t>Additional structures added through anaysis</t>
  </si>
  <si>
    <t># of structures</t>
  </si>
  <si>
    <t>Population</t>
  </si>
  <si>
    <t>Census Data</t>
  </si>
  <si>
    <t>Most Recent</t>
  </si>
  <si>
    <t># of  population</t>
  </si>
  <si>
    <t>Utility Assetts</t>
  </si>
  <si>
    <t>GIS</t>
  </si>
  <si>
    <t>Updated regularly</t>
  </si>
  <si>
    <t># and type</t>
  </si>
  <si>
    <t>TABLE 8: Map File Requirements for Recent and Modelled Conditions of Utility Service Territory, Last 5 Years</t>
  </si>
  <si>
    <t>Layer name</t>
  </si>
  <si>
    <t>Measurements</t>
  </si>
  <si>
    <t>Attachment Location</t>
  </si>
  <si>
    <t>Recent weather patterns</t>
  </si>
  <si>
    <t>Average annual number of Red Flag Warning days per square mile across service territory</t>
  </si>
  <si>
    <t>Area, days, square mile resolution</t>
  </si>
  <si>
    <r>
      <t>Average 95</t>
    </r>
    <r>
      <rPr>
        <sz val="6.5"/>
        <color rgb="FF231F20"/>
        <rFont val="Calibri"/>
        <family val="2"/>
        <scheme val="minor"/>
      </rPr>
      <t xml:space="preserve">th </t>
    </r>
    <r>
      <rPr>
        <sz val="10"/>
        <color rgb="FF231F20"/>
        <rFont val="Calibri"/>
        <family val="2"/>
        <scheme val="minor"/>
      </rPr>
      <t>and 99</t>
    </r>
    <r>
      <rPr>
        <sz val="6.5"/>
        <color rgb="FF231F20"/>
        <rFont val="Calibri"/>
        <family val="2"/>
        <scheme val="minor"/>
      </rPr>
      <t xml:space="preserve">th </t>
    </r>
    <r>
      <rPr>
        <sz val="10"/>
        <color rgb="FF231F20"/>
        <rFont val="Calibri"/>
        <family val="2"/>
        <scheme val="minor"/>
      </rPr>
      <t>percentile wind speed and prevailing direction (actual)</t>
    </r>
  </si>
  <si>
    <t>Area, miles per hour, at a square mile resolution or better, noting where measurements are actual or interpolated</t>
  </si>
  <si>
    <t>Recent drivers of ignition probability</t>
  </si>
  <si>
    <t>Date of recent ignitions categorized by ignition probability driver</t>
  </si>
  <si>
    <t>Point, GPS coordinate, days, square mile resolution</t>
  </si>
  <si>
    <t>Recent use of PSPS</t>
  </si>
  <si>
    <t>Duration of PSPS events and area of the grid affected in customer hours per year</t>
  </si>
  <si>
    <t>Area, customer hours, square mile resolution</t>
  </si>
  <si>
    <t>TABLE 9: Map File Requirements for Baseline Condition of Utility Service Territory Projected for 2020</t>
  </si>
  <si>
    <t>Measurements / variables</t>
  </si>
  <si>
    <t>Appendix location</t>
  </si>
  <si>
    <t>Current baseline state of service territory and utility equipment</t>
  </si>
  <si>
    <t>Non-HFTD vs HFTD (Zone 1, Tier 2, Tier 3) regions of utility service territory</t>
  </si>
  <si>
    <t>Area, square mile resolution per type</t>
  </si>
  <si>
    <t>Urban vs. rural vs. highly rural regions of utility service territory</t>
  </si>
  <si>
    <t>WUI regions of utility service territory</t>
  </si>
  <si>
    <t>Area, square mile resolution</t>
  </si>
  <si>
    <t>Number and location of critical facilities</t>
  </si>
  <si>
    <t>Point, GPS coordinate</t>
  </si>
  <si>
    <t>Number and location of customers</t>
  </si>
  <si>
    <t>Area, number of people, square mile resolution</t>
  </si>
  <si>
    <t>Number and location of customers belonging to access and functional needs populations</t>
  </si>
  <si>
    <t>Overhead transmission lines</t>
  </si>
  <si>
    <t>Line, quarter mile resolution</t>
  </si>
  <si>
    <t>Overhead distribution lines</t>
  </si>
  <si>
    <t>Location of substations</t>
  </si>
  <si>
    <t>Location of weather stations</t>
  </si>
  <si>
    <t>All utility assets by asset type, model, age, specifications, and condition</t>
  </si>
  <si>
    <t>Location of planned utility equipment additions or removal</t>
  </si>
  <si>
    <t>Circuit miles of overhead transmission lines</t>
  </si>
  <si>
    <t>Circuit miles of overhead distribution lines</t>
  </si>
  <si>
    <t>Planned 2020 WMP initiative activity per year</t>
  </si>
  <si>
    <t>Location of 2020 WMP initiative activity for each activity as planned to be completed by the end of each year of the plan term</t>
  </si>
  <si>
    <t>TABLE 10: Weather Patterns, Last 5 Years</t>
  </si>
  <si>
    <t>Weather measurement</t>
  </si>
  <si>
    <t>5yr Historical
Average</t>
  </si>
  <si>
    <t>Red Flag Warning days</t>
  </si>
  <si>
    <t>RFW circuit mile days per year</t>
  </si>
  <si>
    <t>Days rated at the top 30% of proprietary fire potential index or similar fire risk index measure</t>
  </si>
  <si>
    <r>
      <t>Circuit mile days where proprietary measure rated above top 30% threshold</t>
    </r>
    <r>
      <rPr>
        <vertAlign val="superscript"/>
        <sz val="10"/>
        <color rgb="FF231F20"/>
        <rFont val="Calibri"/>
        <family val="2"/>
        <scheme val="minor"/>
      </rPr>
      <t>1</t>
    </r>
    <r>
      <rPr>
        <sz val="6.5"/>
        <color rgb="FF231F20"/>
        <rFont val="Calibri"/>
        <family val="2"/>
        <scheme val="minor"/>
      </rPr>
      <t xml:space="preserve"> </t>
    </r>
    <r>
      <rPr>
        <sz val="10"/>
        <color rgb="FF231F20"/>
        <rFont val="Calibri"/>
        <family val="2"/>
        <scheme val="minor"/>
      </rPr>
      <t>per year</t>
    </r>
  </si>
  <si>
    <t>95th percentile wind conditions</t>
  </si>
  <si>
    <r>
      <t>Circuit mile days with wind gusts over 95</t>
    </r>
    <r>
      <rPr>
        <sz val="6.5"/>
        <color rgb="FF231F20"/>
        <rFont val="Calibri"/>
        <family val="2"/>
        <scheme val="minor"/>
      </rPr>
      <t xml:space="preserve">th </t>
    </r>
    <r>
      <rPr>
        <sz val="10"/>
        <color rgb="FF231F20"/>
        <rFont val="Calibri"/>
        <family val="2"/>
        <scheme val="minor"/>
      </rPr>
      <t>percentile historical (meaning the prior 10 years, 2005-2014) conditions per year</t>
    </r>
  </si>
  <si>
    <t>99th percentile wind conditions</t>
  </si>
  <si>
    <r>
      <t>Circuit mile days with wind gusts over 99</t>
    </r>
    <r>
      <rPr>
        <sz val="6.5"/>
        <color rgb="FF231F20"/>
        <rFont val="Calibri"/>
        <family val="2"/>
        <scheme val="minor"/>
      </rPr>
      <t xml:space="preserve">th </t>
    </r>
    <r>
      <rPr>
        <sz val="10"/>
        <color rgb="FF231F20"/>
        <rFont val="Calibri"/>
        <family val="2"/>
        <scheme val="minor"/>
      </rPr>
      <t>percentile historical (meaning the prior 10 years, 2005-2014) conditions per year</t>
    </r>
  </si>
  <si>
    <r>
      <t xml:space="preserve">1 </t>
    </r>
    <r>
      <rPr>
        <sz val="10"/>
        <color rgb="FF231F20"/>
        <rFont val="Calibri"/>
        <family val="2"/>
        <scheme val="minor"/>
      </rPr>
      <t>Threshold here defined as top 30% of FPI or equivalent scale (e.g., “Extreme” on SCE’s FPI; “extreme”, 15 or greater, on SDG&amp;E’s FPI; and 4 or above on PG&amp;E’s FPI), .</t>
    </r>
  </si>
  <si>
    <t>*Notes: 
- RFW days were calculated using the number of miles of transmission and distribution lines in the HFTD, multiplied by number of days per zone a RFW was in effect.
- FPI days were calculated using the number of days per SDG&amp;E district with an Extreme FPI, multiplied by the number of HFTD transmission and distribution miles within that district
- Percentile wind conditions were calculated using the measured 95th and 99th percentile winds at SDG&amp;E weather stations.</t>
  </si>
  <si>
    <t>TABLE 11a Distribution: Key Recent Drivers of Ignition Probability, Last 5 Years</t>
  </si>
  <si>
    <t>Incident type by ignition probability driver</t>
  </si>
  <si>
    <t>Near misses tracked (y/n)?</t>
  </si>
  <si>
    <t>Number of Incidents 
per year</t>
  </si>
  <si>
    <t>Avg % probability of ignition per incident</t>
  </si>
  <si>
    <t>Ignition per year caused by driver</t>
  </si>
  <si>
    <t>Average</t>
  </si>
  <si>
    <t>Contact from object</t>
  </si>
  <si>
    <t>All types of object contact</t>
  </si>
  <si>
    <t>Yes</t>
  </si>
  <si>
    <t>Animal contact</t>
  </si>
  <si>
    <t>Balloon contact</t>
  </si>
  <si>
    <t>Veg. contact</t>
  </si>
  <si>
    <t>Vehicle contact</t>
  </si>
  <si>
    <t>All types of equipment / facility failure</t>
  </si>
  <si>
    <t>All types</t>
  </si>
  <si>
    <t>Capacitor bank failure</t>
  </si>
  <si>
    <t>Conductor failure - all</t>
  </si>
  <si>
    <t>Conductor failure - wires down</t>
  </si>
  <si>
    <t>Fuse failure - all</t>
  </si>
  <si>
    <t>Fuse failure - conventional blown fuse</t>
  </si>
  <si>
    <t>Lightning arrestor failure</t>
  </si>
  <si>
    <t>Splice/Clamp/Connector</t>
  </si>
  <si>
    <t>Switch failure</t>
  </si>
  <si>
    <t>Transformer failure</t>
  </si>
  <si>
    <t>Wire-to-wire contact / contamination</t>
  </si>
  <si>
    <t>Vandalism/Theft</t>
  </si>
  <si>
    <t xml:space="preserve">N/A </t>
  </si>
  <si>
    <t>TABLE 11b Transmission: Key Recent Drivers of Ignition Probability, Last 5 Years</t>
  </si>
  <si>
    <t>TABLE 12: Recent Use of PSPS, Last 5 Years</t>
  </si>
  <si>
    <t>PSPS characteristic</t>
  </si>
  <si>
    <t>Calculations</t>
  </si>
  <si>
    <t>Frequency of PSPS events (total)</t>
  </si>
  <si>
    <t>Number of instances where utility operating protocol requires de-energization of a circuit or portion thereof to reduce ignition probability, per year</t>
  </si>
  <si>
    <t>Count of unique PSPS outages (switch plans) per year</t>
  </si>
  <si>
    <t>Frequency of PSPS events (normalized)</t>
  </si>
  <si>
    <t>Number of instances where utility operating protocol requires de-energization of a circuit or portion thereof in order to reduce ignition probability, per RFW circuit mile day per year</t>
  </si>
  <si>
    <t>1 RFW / # RFW days per year / total OH circuit miles</t>
  </si>
  <si>
    <t>Scope of PSPS events (total)</t>
  </si>
  <si>
    <t>Circuit-events, measured in number of events multiplied by number of circuits de-energized per year</t>
  </si>
  <si>
    <t>(Number of PSPS events per year) X (sum of # unique circuits per PSPS event)</t>
  </si>
  <si>
    <t>Scope of PSPS events (normalized)</t>
  </si>
  <si>
    <t>Circuit-events, measured in number of events multiplied by number of circuits targeted for de- energization per RFW circuit mile day per year</t>
  </si>
  <si>
    <t>3 RFW / # RFW days per year / total OH circuit miles</t>
  </si>
  <si>
    <t>Duration of PSPS events (total)</t>
  </si>
  <si>
    <t>Customer hours per year</t>
  </si>
  <si>
    <t>Sum of Customer Minutes Interrupted (CMI) / 60</t>
  </si>
  <si>
    <t>Duration of PSPS events (normalized)</t>
  </si>
  <si>
    <t>Customer hours per RFW circuit mile day per year</t>
  </si>
  <si>
    <t>5 RFW / # RFW days per year / total OH circuit miles</t>
  </si>
  <si>
    <t>TABLE 13: Current Baseline State of Service Territory and Utility Equipment</t>
  </si>
  <si>
    <t>Land use</t>
  </si>
  <si>
    <t>Characteristic tracked</t>
  </si>
  <si>
    <t>In non- HFTD</t>
  </si>
  <si>
    <t>In HFTD Zone 1</t>
  </si>
  <si>
    <t>In HFTD Tier 2</t>
  </si>
  <si>
    <t>In HFTD Tier 3</t>
  </si>
  <si>
    <t xml:space="preserve">Comments </t>
  </si>
  <si>
    <t>Service Territory</t>
  </si>
  <si>
    <t>Circuit miles</t>
  </si>
  <si>
    <t>Tracking is not completed by rural/highly rural</t>
  </si>
  <si>
    <t>Circuit miles in WUI</t>
  </si>
  <si>
    <t>Number of critical facilities</t>
  </si>
  <si>
    <t>Number of critical facilities in WUI</t>
  </si>
  <si>
    <t>Number of customers</t>
  </si>
  <si>
    <t>Number of Meters</t>
  </si>
  <si>
    <t>Number of customers in WUI</t>
  </si>
  <si>
    <t>Number of customers belonging to access and functional needs populations</t>
  </si>
  <si>
    <t>Number of customers belonging to access and functional needs populations in WUI</t>
  </si>
  <si>
    <t>Circuit miles of overhead transmission lines in WUI</t>
  </si>
  <si>
    <t>Circuit miles of overhead distribution lines in WUI</t>
  </si>
  <si>
    <t>Number of substations</t>
  </si>
  <si>
    <t>Number of substations in WUI</t>
  </si>
  <si>
    <t>In rural areas</t>
  </si>
  <si>
    <t>In highly rural areas</t>
  </si>
  <si>
    <t>TABLE 14: Summary Data on Weather Station Count</t>
  </si>
  <si>
    <t>Weather station count type</t>
  </si>
  <si>
    <t>Current Count</t>
  </si>
  <si>
    <t>Number of weather stations (total)</t>
  </si>
  <si>
    <t>Total number located in service territory and operated by utility</t>
  </si>
  <si>
    <t>Number of weather stations (normalized)</t>
  </si>
  <si>
    <t>Total number located in service territory and operated by utility, divided by total number of circuit miles in utility service territory</t>
  </si>
  <si>
    <t>Used OH circuit miles - T&amp;D 8336 miles</t>
  </si>
  <si>
    <t>Number of weather stations in non- HFTD (total)</t>
  </si>
  <si>
    <t>Total number located in non-HFTD service territory and operated by utility</t>
  </si>
  <si>
    <t>Number of weather stations in non-HFTD (normalized)</t>
  </si>
  <si>
    <t>Total number located in non-HFTD service territory and operated by utility, divided by total number of circuit miles in non-HFTD service territory</t>
  </si>
  <si>
    <t>Used OH circuit miles - T&amp;D 3834 miles</t>
  </si>
  <si>
    <t>Number of weather stations in HFTD Zone 1 (total)</t>
  </si>
  <si>
    <t>Total number located in HFTD Zone 1 service territory and operated by utility</t>
  </si>
  <si>
    <t>Number of weather stations in HFTD Zone 1 (normalized)</t>
  </si>
  <si>
    <t>Total number located in HFTD Zone 1 service territory and operated by utility, divided by total number of circuit miles in HFTD Zone 1 service territory</t>
  </si>
  <si>
    <t>Number of weather stations in HFTD Tier 2 (total)</t>
  </si>
  <si>
    <t>Total number located in HFTD Tier 2 service territory and operated by utility</t>
  </si>
  <si>
    <t>Number of weather stations in HFTD Tier 2 (normalized)</t>
  </si>
  <si>
    <t>Total number located in HFTD Tier 2 service territory and operated by utility, divided by total number of circuit miles in HFTD Tier 2 service territory</t>
  </si>
  <si>
    <t>Used OH circuit miles - T&amp;D - 2550 miles</t>
  </si>
  <si>
    <t>Number of weather stations in HFTD Tier 3 (total)</t>
  </si>
  <si>
    <t>Total number located in HFTD Tier 3 service territory and operated by utility</t>
  </si>
  <si>
    <t>Number of weather stations in HFTD Tier 3 (normalized)</t>
  </si>
  <si>
    <t>Total number located in HFTD Tier 3 service territory and operated by utility, divided by total number of circuit miles in HFTD Tier 3 service territory</t>
  </si>
  <si>
    <t>Used OH circuit miles - T&amp;D - 1952 miles</t>
  </si>
  <si>
    <t>TABLE 15: Summary Data on Fault Indicator Count</t>
  </si>
  <si>
    <t>Fault indicator count type</t>
  </si>
  <si>
    <t>Number of fault indicators (total)</t>
  </si>
  <si>
    <t>Number of fault indicators (normalized)</t>
  </si>
  <si>
    <t>Number of fault indicators in non-HFTD (total)</t>
  </si>
  <si>
    <t>Number of fault indicators in non-HFTD (normalized)</t>
  </si>
  <si>
    <t>Number of fault indicators in HFTD Zone 1 (total)</t>
  </si>
  <si>
    <t>Number of fault indicators in HFTD Zone 1 (normalized)</t>
  </si>
  <si>
    <t>Number of fault indicators in HFTD Tier 2 (total)</t>
  </si>
  <si>
    <t>Number of fault indicators in HFTD Tier 2 (normalized)</t>
  </si>
  <si>
    <t>Number of fault indicators in HFTD Tier 3 (total)</t>
  </si>
  <si>
    <t>Number of fault indicators in HFTD Tier 3 (normalized)</t>
  </si>
  <si>
    <t>TABLE 16: Location of Planned Utility Equipment Additions or Removal By End of 3-Year Plan Term</t>
  </si>
  <si>
    <t>Changes by end-2022</t>
  </si>
  <si>
    <t>In non-HFTD</t>
  </si>
  <si>
    <t>Number of weather stations</t>
  </si>
  <si>
    <t>Number of weather stations in WUI</t>
  </si>
  <si>
    <t>Transmission lines refer to all lines at or above 65kV, and distribution lines refer to all lines below 65kV.</t>
  </si>
  <si>
    <t>TABLE 17: Location of Planned Utility Infrastructure Upgrades</t>
  </si>
  <si>
    <t>Total circuit miles planned for hardening each year, all types and locations</t>
  </si>
  <si>
    <t>Total number of substations planned for hardening each year, all locations</t>
  </si>
  <si>
    <t>In urban areas</t>
  </si>
  <si>
    <t>Circuit miles planned for grid hardening of overhead transmission lines</t>
  </si>
  <si>
    <t>Circuit miles of overhead transmission lines in WUI to harden</t>
  </si>
  <si>
    <t>Circuit miles of overhead distribution lines to harden</t>
  </si>
  <si>
    <t>Circuit miles of overhead distribution lines in WUI to harden</t>
  </si>
  <si>
    <t>Number of substations to harden</t>
  </si>
  <si>
    <t>Number of substations in WUI to harden</t>
  </si>
  <si>
    <t>Circuit miles of overhead transmission lines to harden</t>
  </si>
  <si>
    <t>TABLE 18a Distribution: Key Drivers of Ignition Probability</t>
  </si>
  <si>
    <t>Ignition probability drivers</t>
  </si>
  <si>
    <t>Number of incidents per year (according to 5-year historical average)</t>
  </si>
  <si>
    <t>Average likelihood of ignition per incident</t>
  </si>
  <si>
    <t>Ignitions from this driver (according to 5-year historical average)</t>
  </si>
  <si>
    <t>Transfer table 11 to this once Katie populates // CB to complete</t>
  </si>
  <si>
    <t>Vegetation contact</t>
  </si>
  <si>
    <t>Conductor failure— all</t>
  </si>
  <si>
    <t>Conductor failure— wires down</t>
  </si>
  <si>
    <t>Fuse failure—all</t>
  </si>
  <si>
    <t>Fuse failure—conventional blown fuse</t>
  </si>
  <si>
    <t>Splice/Clamp/Connector Failure</t>
  </si>
  <si>
    <r>
      <rPr>
        <sz val="11"/>
        <color rgb="FFFF0000"/>
        <rFont val="Calibri"/>
        <family val="2"/>
        <scheme val="minor"/>
      </rPr>
      <t>*Note:</t>
    </r>
    <r>
      <rPr>
        <sz val="11"/>
        <color theme="1"/>
        <rFont val="Calibri"/>
        <family val="2"/>
        <scheme val="minor"/>
      </rPr>
      <t xml:space="preserve"> In SDG&amp;E's Territory Zone 1 falls within Tiers 2 and 3.  To avoid double counting all fires have been grouped into Tiers 2 and 3</t>
    </r>
  </si>
  <si>
    <t>TABLE 18b Transmission: Key Drivers of Ignition Probability</t>
  </si>
  <si>
    <t>TABLE 19: Macro Trends Impacting Ignition Probability and/or Wildfire Consequence</t>
  </si>
  <si>
    <t>Rank</t>
  </si>
  <si>
    <t>Macro trends impacting utility ignited ignition probability and estimated wildfire consequence by year 10</t>
  </si>
  <si>
    <t>Change in ignition probability and estimated wildfire consequence due to climate change</t>
  </si>
  <si>
    <t xml:space="preserve">Climate change is already affecting California and San Diego County, and is driving higher wildfire risk for many reasons. Extended droughts </t>
  </si>
  <si>
    <t>Change in ignition probability and estimated wildfire consequence due to relevant invasive species, such as bark beetles</t>
  </si>
  <si>
    <t>Invasive species such as the bark beetle are not as much of a concern in the San Diego region, but eucalyptus trees and some grasses can be considered invasive and drive vegetation risk for wildfires.</t>
  </si>
  <si>
    <t>Change in ignition probability and estimated wildfire consequence due to other drivers of change in fuel density and moisture</t>
  </si>
  <si>
    <t xml:space="preserve">Fuel density and fuel changes as a result of climate change need more research, however fuel moisture will be an issue as lower relative humidity and drought as a result of climate change will created fuels that are at much higher risk of catastrophic fire </t>
  </si>
  <si>
    <t>Population changes (including Access and Functional Needs population) that could be impacted by utility ignition</t>
  </si>
  <si>
    <t xml:space="preserve">AFN populations are a very high priority for SDG&amp;E and there are many programs in place that build their resilience and wildfire safety. AFN population vulnerability remains a high priority, but is better addressed at this time than these other risks. </t>
  </si>
  <si>
    <t>Population changes in HFTD that could be impacted by utility ignition</t>
  </si>
  <si>
    <t xml:space="preserve">There are two potential impacts of higher population in HFTDs. One impact is that more people will be living in areas with high-wildfire threat, but on the other hand, there is the potential of more urbanization, thus reducing the amount of people living in the WUI. </t>
  </si>
  <si>
    <t>Population changes in WUI that could be impacted by utility ignition</t>
  </si>
  <si>
    <t>More people moving to WUI increases ignition probability because there is more infrastructure as well as more people in direct course of wildfire. This trend is changing the most quickly relative to others and thus will be the most important looking just ten years out.</t>
  </si>
  <si>
    <t>Utility infrastructure location in HFTD vs non-HFTD</t>
  </si>
  <si>
    <t>The infrastructure in the HFTD vs. non-HFTD is a area of focus for SDG&amp;E and there are major projects hardening infrastructure in HFTD’s.</t>
  </si>
  <si>
    <t>Utility infrastructure location in urban vs rural vs highly rural areas</t>
  </si>
  <si>
    <t xml:space="preserve">There are WUI areas in San Diego that are not included as a part of the HFTDs that can be prone to wildfire and thus SDG&amp;E infrastructure in these areas are targeted for risk mitigation. </t>
  </si>
  <si>
    <r>
      <rPr>
        <sz val="10"/>
        <color rgb="FFFF0000"/>
        <rFont val="Calibri"/>
        <family val="2"/>
        <scheme val="minor"/>
      </rPr>
      <t>*NOTE:</t>
    </r>
    <r>
      <rPr>
        <sz val="10"/>
        <color rgb="FF231F20"/>
        <rFont val="Calibri"/>
        <family val="2"/>
        <scheme val="minor"/>
      </rPr>
      <t xml:space="preserve"> Comment on difference in approach to serving customers in urban versus rural versus highly rural areas.</t>
    </r>
  </si>
  <si>
    <t>TABLE 20: Anticipated Characteristics of PSPS Use Over the Next 10 Years</t>
  </si>
  <si>
    <t>Rank order 1-9</t>
  </si>
  <si>
    <t>Significantly increase; increase; no change; decrease; significantly decrease</t>
  </si>
  <si>
    <t>Number of customers affected by PSPS events (total)</t>
  </si>
  <si>
    <t>Significantly Decrease</t>
  </si>
  <si>
    <t>Number of customers affected by PSPS events (normalized by fire weather, e.g., Red Flag Warning line mile days)</t>
  </si>
  <si>
    <t>Frequency of PSPS events in number of instances where utility operating protocol requires de-energization of a circuit or portion thereof to reduce ignition probability (total)</t>
  </si>
  <si>
    <t>Decrease</t>
  </si>
  <si>
    <t>Frequency of PSPS events in number of instances where utility operating protocol requires de-energization of a circuit or portion thereof to reduce ignition probability (normalized by fire weather, e.g., Red Flag Warning line mile days)</t>
  </si>
  <si>
    <t>Scope of PSPS events in circuit-events, measured in number of events multiplied by number of circuits targeted for de-energization (total)</t>
  </si>
  <si>
    <t>Scope of PSPS events in circuit-events, measured in number of events multiplied by number of circuits targeted for de-energization (normalized by fire weather, e.g., Red Flag Warning line mile days)</t>
  </si>
  <si>
    <t>Duration of PSPS events in customer hours (total)</t>
  </si>
  <si>
    <t>Duration of PSPS events in customer hours (normalized by fire weather, e.g., Red Flag Warning line mile days)</t>
  </si>
  <si>
    <t>TABLE 21: Risk Assessment and Mapping Initiatives</t>
  </si>
  <si>
    <t>Initiative Activity</t>
  </si>
  <si>
    <t>Total per initiative spend</t>
  </si>
  <si>
    <t>Line Miles to be treated</t>
  </si>
  <si>
    <t>Spend per treated line mile</t>
  </si>
  <si>
    <t>Ignition probability drivers targeted</t>
  </si>
  <si>
    <t>Risk reduction</t>
  </si>
  <si>
    <t>Risk-spend efficiency</t>
  </si>
  <si>
    <t>Other risk drivers addressed</t>
  </si>
  <si>
    <t>Existing/new</t>
  </si>
  <si>
    <t>Existing/ What Proceeding</t>
  </si>
  <si>
    <t>If New: Memorandum account</t>
  </si>
  <si>
    <t>In / Exceeding Compliance with regulations</t>
  </si>
  <si>
    <t>Cite Associated rule</t>
  </si>
  <si>
    <t>Low</t>
  </si>
  <si>
    <t>High</t>
  </si>
  <si>
    <t>Wildfire Risk Reduction Model</t>
  </si>
  <si>
    <t>2019 plan</t>
  </si>
  <si>
    <t>This control was grouped with Public Safety Risk Reduction during high wildfire conditions for purposes of RSE calculations</t>
  </si>
  <si>
    <t xml:space="preserve">Existing </t>
  </si>
  <si>
    <t>TY 2019 GRC</t>
  </si>
  <si>
    <t>Meets and exceeds</t>
  </si>
  <si>
    <t>P.U. Code § 451</t>
  </si>
  <si>
    <t>2019 actual</t>
  </si>
  <si>
    <t>2020-2022 Plan Total</t>
  </si>
  <si>
    <t>High Performance Computing Infrastructure</t>
  </si>
  <si>
    <t>New</t>
  </si>
  <si>
    <t>TABLE 22: Situational Awareness and Forecasting Initiatives</t>
  </si>
  <si>
    <t>Camera Networks and Advanced Weather Station Integration</t>
  </si>
  <si>
    <t>*</t>
  </si>
  <si>
    <t>Increased response speed to ignitions</t>
  </si>
  <si>
    <t>This control was grouped with Strategy for Minimizing Public Safety Risk During High Wildfire Conditions  for purposes of RSE calculations</t>
  </si>
  <si>
    <t xml:space="preserve">*2019 WMP plan costs were combined with Fire Science and Climate Adaptation. </t>
  </si>
  <si>
    <t xml:space="preserve">Wireless Fault Indicators </t>
  </si>
  <si>
    <t>Mitigates customer impacts of sensitive settings</t>
  </si>
  <si>
    <t>Reliability</t>
  </si>
  <si>
    <t>Fire Science and Climate Adaptation Department (O&amp;M)</t>
  </si>
  <si>
    <t>Fire Science and Climate Adaptation Department (Capital)</t>
  </si>
  <si>
    <t>Situational Awareness Dashboard (Capital)</t>
  </si>
  <si>
    <t>FRMMA</t>
  </si>
  <si>
    <t>Situational Awareness Dashboard (O&amp;M)</t>
  </si>
  <si>
    <t>Operating Conditions</t>
  </si>
  <si>
    <t>Base</t>
  </si>
  <si>
    <t>Crew and all ignition probability from  faults</t>
  </si>
  <si>
    <t>NMS Situational Awareness Upgrades</t>
  </si>
  <si>
    <t xml:space="preserve">TABLE 22A: Situational Awareness and Forecasting Initiatives </t>
  </si>
  <si>
    <t>Weather Stations Installed</t>
  </si>
  <si>
    <t>2019 Plan</t>
  </si>
  <si>
    <t>2019 Actual</t>
  </si>
  <si>
    <t>2020-20222 Plan Totals</t>
  </si>
  <si>
    <t>Wireless Fault Indicators Installed</t>
  </si>
  <si>
    <t>TABLE 23: Grid Design and System Hardening Initiatives</t>
  </si>
  <si>
    <t>SCADA Capacitor Program</t>
  </si>
  <si>
    <t>Equipment failure, capacitor</t>
  </si>
  <si>
    <t>Advanced Protection</t>
  </si>
  <si>
    <t>Reduces % chance fault becomes an ignition</t>
  </si>
  <si>
    <t>Distribution Overhead  Fire Hardening (OH)</t>
  </si>
  <si>
    <t>Equipment Failure All</t>
  </si>
  <si>
    <t>Distribution Overhead Fire Hardening (Covered Conductor)</t>
  </si>
  <si>
    <t>Equipment Failure All, Foreign Object in Line, all but large vegetation, vehicle contacts</t>
  </si>
  <si>
    <t>Pole Replacement and Reinforcement</t>
  </si>
  <si>
    <t>Equipment failure, all except for wires</t>
  </si>
  <si>
    <t>Expulsion Fuse Replacement Program</t>
  </si>
  <si>
    <t>Fuse Operation</t>
  </si>
  <si>
    <t>PSPS Enhancements - Sectionalizing Devices</t>
  </si>
  <si>
    <t>PSPS impacts</t>
  </si>
  <si>
    <t>Hotline Clamp Replacement Program</t>
  </si>
  <si>
    <t>Equipment failure, Wire Down</t>
  </si>
  <si>
    <t xml:space="preserve">Microgrids </t>
  </si>
  <si>
    <t>Customer Resilliancy Programs</t>
  </si>
  <si>
    <t>Generator Grant Program - Expanded</t>
  </si>
  <si>
    <t>Whole Home Generators</t>
  </si>
  <si>
    <t>Undergrounding of Electric Lines and/or Equipment</t>
  </si>
  <si>
    <t>All equipment failure and foreign object in lines</t>
  </si>
  <si>
    <t>Overhead Transmission and Distribution Fire Hardening (Transmission OH)</t>
  </si>
  <si>
    <t>FERC</t>
  </si>
  <si>
    <t>FERC TO5Filing</t>
  </si>
  <si>
    <t>G.O. 95</t>
  </si>
  <si>
    <t>NA FERC</t>
  </si>
  <si>
    <t>Overhead Transmission and Distribution Fire Hardening (Transmission UG)</t>
  </si>
  <si>
    <t>Overhead Transmission and Distribution Fire Hardening (Distribution Underbuilt)</t>
  </si>
  <si>
    <t>CNF Fire Hardening (Transmission OH)</t>
  </si>
  <si>
    <t>CNF Fire Hardening (Distribution OH Associated with Transmission)</t>
  </si>
  <si>
    <t>CNF Fire Hardening (Distribution OH)</t>
  </si>
  <si>
    <t>CNF Fire Hardening (Distribution UG)</t>
  </si>
  <si>
    <t>See CNF OH</t>
  </si>
  <si>
    <t>Lightning Arrestor Replacement Program</t>
  </si>
  <si>
    <t>LTE Communication Network</t>
  </si>
  <si>
    <t>This was grouped with Advanced Protection for the purposes of RSE calculation</t>
  </si>
  <si>
    <t>TABLE 23A: Grid Design and System Hardening Initiatives</t>
  </si>
  <si>
    <t>SCADA Caps installed</t>
  </si>
  <si>
    <t>Circuits Enabled</t>
  </si>
  <si>
    <t>Substations Enabled</t>
  </si>
  <si>
    <t xml:space="preserve">Advanced Protection </t>
  </si>
  <si>
    <t>New Metric for post-2019 work</t>
  </si>
  <si>
    <t>OH Hardening 2019 Program Summary</t>
  </si>
  <si>
    <t>FiRM</t>
  </si>
  <si>
    <t>PRiME</t>
  </si>
  <si>
    <t>WiSE</t>
  </si>
  <si>
    <t>Poles Replaced</t>
  </si>
  <si>
    <t>Total Fuses Replaced</t>
  </si>
  <si>
    <t>Sectionalizing Devices Installed</t>
  </si>
  <si>
    <t>Total Hot Line Clamps Replaced</t>
  </si>
  <si>
    <t>Hot Line Clamp Replacement Program</t>
  </si>
  <si>
    <t>Micro Grids Installed</t>
  </si>
  <si>
    <t>Micro Grids</t>
  </si>
  <si>
    <t xml:space="preserve">*Substantial progress was made on the Cameron Quarters Micro Grid Project, it will be completed in 2020.  </t>
  </si>
  <si>
    <t>*0</t>
  </si>
  <si>
    <t>Generators Provided</t>
  </si>
  <si>
    <t>Community Resource Centers</t>
  </si>
  <si>
    <t>Community and Critical Infrastructure Generator Lease</t>
  </si>
  <si>
    <t>Generator Grant Program Expanded</t>
  </si>
  <si>
    <t>Whole House Generators</t>
  </si>
  <si>
    <t>Lightning Arrestors Replaced</t>
  </si>
  <si>
    <t>Base Stations Installed</t>
  </si>
  <si>
    <t>TABLE 24: Asset Management and Inspections Initiatives</t>
  </si>
  <si>
    <t>SDG&amp;E Corrective Maintenance Program (HFTD)</t>
  </si>
  <si>
    <t>All equipment failure related (less hot connections)</t>
  </si>
  <si>
    <t xml:space="preserve">Meets  </t>
  </si>
  <si>
    <t>GO165</t>
  </si>
  <si>
    <t xml:space="preserve">*SDG&amp;E's corrective maintenance program inspection costs were not broken out in the previous WMP.  SDG&amp;E plans to track inspection costs within the HFTD going forward. </t>
  </si>
  <si>
    <t>*Base</t>
  </si>
  <si>
    <t>Transmission System Inspections</t>
  </si>
  <si>
    <t xml:space="preserve">All equipment failure </t>
  </si>
  <si>
    <t xml:space="preserve">California Public Resources Code (PRC) §§ 4292 and 4293, as well as GO 95 and GO 128 rules.    </t>
  </si>
  <si>
    <t>Infrared Corona</t>
  </si>
  <si>
    <t>Hot Connection Equipment Failure</t>
  </si>
  <si>
    <t>Exceeds</t>
  </si>
  <si>
    <t>*RSE values for SDG&amp;E's enhanced inspection programs were grouped in the November RAMP filing</t>
  </si>
  <si>
    <t>HFTD Tier 3 Inspections</t>
  </si>
  <si>
    <t>Drone Inspections (capital)</t>
  </si>
  <si>
    <t>GO 165, GO 95</t>
  </si>
  <si>
    <t>*RSE values for SDG&amp;E's enhanced inspection programs were grouped in the November RAMP filing, RSE value is listed in Pole Replacement and Reinforcement</t>
  </si>
  <si>
    <t>Drone Inspections (O&amp;M)
*Flights &amp; Assessments</t>
  </si>
  <si>
    <t>Drone Inspections  (O&amp;M)
*Enigineering &amp; Construction</t>
  </si>
  <si>
    <t>Circuit Ownership</t>
  </si>
  <si>
    <t>Substation System Inspections</t>
  </si>
  <si>
    <t>GO174</t>
  </si>
  <si>
    <t>TABLE 24A: Asset Management and Inspections Initiatives</t>
  </si>
  <si>
    <t>5 year Detailed Inspections</t>
  </si>
  <si>
    <t>Annual Patrols</t>
  </si>
  <si>
    <t>Wood Pole Intrusive Inspections</t>
  </si>
  <si>
    <t>Transmission Visual Inspections</t>
  </si>
  <si>
    <t>Transmission Infrared Inspections</t>
  </si>
  <si>
    <t>Transmission Detailed Inspections</t>
  </si>
  <si>
    <t>Additional Transmission Aerial 69kV Tier 3 Visual Inspection</t>
  </si>
  <si>
    <t> 94</t>
  </si>
  <si>
    <t> 90</t>
  </si>
  <si>
    <t>29 </t>
  </si>
  <si>
    <t>45 </t>
  </si>
  <si>
    <t>116 </t>
  </si>
  <si>
    <t>112 </t>
  </si>
  <si>
    <t>37 </t>
  </si>
  <si>
    <t>Infrared/Corona Inspections</t>
  </si>
  <si>
    <t>QA/QC Inspections</t>
  </si>
  <si>
    <t>Drone Inspections Completed</t>
  </si>
  <si>
    <t>Drone Inspections</t>
  </si>
  <si>
    <t>Substation Inspections</t>
  </si>
  <si>
    <t>TABLE 25: Vegetation Management and Inspections Initiatives</t>
  </si>
  <si>
    <t>Tree Trimming</t>
  </si>
  <si>
    <t>Vegetation Contact</t>
  </si>
  <si>
    <t>*In SDGE's 2019 WMP, Tree Trimming was listed as part of base business and costs for the program were not provided.  Going forward, SDG&amp;E will be providing these costs.</t>
  </si>
  <si>
    <t>Fuels Management Program</t>
  </si>
  <si>
    <t>Reduces chance fault becomes an ignition, reduces initial propagation</t>
  </si>
  <si>
    <t>Enhanced Inspections Patrols and Trimming</t>
  </si>
  <si>
    <t>Pole Brushing</t>
  </si>
  <si>
    <t>Reduces chances that a fault will lead to an ignition</t>
  </si>
  <si>
    <t>*In SDGE's 2019 WMP, Pole Brushing was listed as part of base business and costs for the program were not provided.  Going forward, SDG&amp;E will be providing these costs.</t>
  </si>
  <si>
    <t>TABLE 25A: Vegetation Management and Inspections Initiatives</t>
  </si>
  <si>
    <t>Trees Inspected</t>
  </si>
  <si>
    <t>2020-2022 Plan Totals</t>
  </si>
  <si>
    <t>Trees Trimmed to 25' clearance or removed</t>
  </si>
  <si>
    <t>Poles Brushed</t>
  </si>
  <si>
    <t>Poles cleared</t>
  </si>
  <si>
    <t>Fuels Management</t>
  </si>
  <si>
    <t>TABLE 26: Grid Operations and Protocols Initiatives</t>
  </si>
  <si>
    <t>Recloser Protocols</t>
  </si>
  <si>
    <t>Reduces chance of fault leading to an ignition</t>
  </si>
  <si>
    <t>Wildfire Infrastructure Protection Teams</t>
  </si>
  <si>
    <t>Employee Caused Ignitions</t>
  </si>
  <si>
    <t>CFR cost estimates can fluctuate based on the actual conditions that accompany fire season. The Primary contract calls for 8 CFRs a day but in reality there are usually more ordered. Additionally, CFRs used during Extreme weather events and other fire related activations are not included in the above estimates</t>
  </si>
  <si>
    <t>Other Special Work Procedures</t>
  </si>
  <si>
    <t>Strategy for Minimizing Public Safety Risk During High Wildfire Conditions</t>
  </si>
  <si>
    <t>All</t>
  </si>
  <si>
    <t>P.U. Code §§ 399.2(a) and 451, D.12-04-024, and Commission Resolution ESRB-8.</t>
  </si>
  <si>
    <t xml:space="preserve">Mitigating the Public Safety Impact of PSPS Protocols </t>
  </si>
  <si>
    <t>P.U. Code § 399.2(a) and 451, D.12-04-024, and Commission Resolution ESRB-8</t>
  </si>
  <si>
    <t>Communication Practices (Capital)</t>
  </si>
  <si>
    <t>Communication Practices (O&amp;M)</t>
  </si>
  <si>
    <t>Aviation Firefighting Program (Capital)</t>
  </si>
  <si>
    <t>Fire Suppression</t>
  </si>
  <si>
    <t>See Aviation Firefighting Program (O&amp;M)</t>
  </si>
  <si>
    <t>Aviation Firefighting Program (O&amp;M)</t>
  </si>
  <si>
    <t xml:space="preserve">Industrial Fire Brigade </t>
  </si>
  <si>
    <t>TABLE 27: Data Governance Initiatives</t>
  </si>
  <si>
    <t>Geographic Information Systems</t>
  </si>
  <si>
    <t>Ignition Management Program</t>
  </si>
  <si>
    <t>This was grouped with OH hardening (BC and CC) and Undergrounding for the purpose of calculating RSE's</t>
  </si>
  <si>
    <t>TABLE 28: Resource Allocation Methodology Initiatives</t>
  </si>
  <si>
    <t>Total per initiative spend (Capital)</t>
  </si>
  <si>
    <t>Asset Management (capital)</t>
  </si>
  <si>
    <t>Asset Management (O&amp;M)</t>
  </si>
  <si>
    <t>Wildfire Mitigation Personnel</t>
  </si>
  <si>
    <t>PSPS Mitigation Engineering Team</t>
  </si>
  <si>
    <t xml:space="preserve">* Costs  for this team have been grouped with Wildfire Mitigation Personnel </t>
  </si>
  <si>
    <t>TABLE 29: Emergency Planning and Preparedness Initiatives</t>
  </si>
  <si>
    <t xml:space="preserve">Customer Support in Emergencies </t>
  </si>
  <si>
    <t>* Costs for this program are included in Emergency Management Operations</t>
  </si>
  <si>
    <t>Disaster and Emergency Preparedness Plan</t>
  </si>
  <si>
    <t>Emergency Management Operations (O&amp;M)</t>
  </si>
  <si>
    <t>Existing</t>
  </si>
  <si>
    <t>Emergency Management Operations (Capital)</t>
  </si>
  <si>
    <t>TABLE 30</t>
  </si>
  <si>
    <t xml:space="preserve">Community Engagement - See Table 26 Customer Communications and Mitigating the Public Safety Impact of PSPS Protocols </t>
  </si>
  <si>
    <t>TABLE 31: Change in Drivers of Ignition Probability Taking Into Account Planned Initiatives, For Each Year of Plan</t>
  </si>
  <si>
    <t>Number of Ignitions per year</t>
  </si>
  <si>
    <t xml:space="preserve">Issues in FTZ / FTZ Circuit Miles in 2016
Inspection Type         Level 1      Level 2      Level 3
Patrol                           0.0083     0.0596     NA
Detail                           0.0049      0.1408     NA
QC                                0.0003      0.1958     NA
Issues/ Total Circuit Miles in 2016
Inspection Type         Level 1       Level 2     Level 3 
Patrol                          0.0055       0.1328      NA
Detail                           0.0069       0.3575      NA
QC                                0.0001       0.0411      NA
</t>
  </si>
  <si>
    <t xml:space="preserve">Issues in FTZ / FTZ Circuit Miles in 2015
Inspection Type         Level 1      Level 2      Level 3
Patrol                          0.008        0.049        NA
Detail                           0.0014     0.1929      NA
QC                                0.0006     0.2408      NA
Issues/ Total Circuit Miles in 2015
Inspection Type         Level 1       Level 2     Level 3 
Patrol                          0.0070       0.1059     NA
Detail                           0.0097       0.3856     NA
QC                                0.0001       0.0505     NA
</t>
  </si>
  <si>
    <t xml:space="preserve">Issues in FTZ / FTZ Circuit Miles in 2017
Inspection Type         Level 1      Level 2      Level 3
Patrol                           0.0017      0.0602     NA
Detail                           0.0011      0.0659      NA
QC                                0.0009      0.1032      NA
Issues/ Total Circuit Miles in 2017
Inspection Type         Level 1       Level 2     Level 3 
Patrol                          0.0058       0.1311     NA
Detail                           0.0044       0.3005     NA
QC                                0.0002       0.0217     NA
</t>
  </si>
  <si>
    <t xml:space="preserve">Issues in HFTD / HFTD Circuit Miles in 2018
Inspection Type         Level 1      Level 2      Level 3
Patrol                           0.008        0.043        NA
Detail                            0.0009      0.0614     NA
QC                                 0.0003      0.1775     NA
Issues/ Total Circuit Miles in 2018
Inspection Type         Level 1       Level 2     Level 3 
Patrol                           0.0041      0.1269     NA
Detail                           0.0074       0.2984     NA
QC                                 0.0001      0.0372     NA
</t>
  </si>
  <si>
    <t xml:space="preserve">Issues in HFTD/ HFTD Circuit Miles in 2019
Inspection Type         Level 1      Level 2      Level 3
Patrol                           0.002        0.1216      NA
Detail                            0.0011      0.0648     NA
QC                                 0.0003      0.0665     NA
Issues/ Total Circuit Miles in 2019
Inspection Type         Level 1       Level 2     Level 3 
Patrol                          0.0031       0.1263      NA
Detail                           0.0039       0.3770      NA
QC                                0.0001       0.0140      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</si>
</sst>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164" formatCode="0.0000000"/>
    <numFmt numFmtId="165" formatCode="0.0000"/>
    <numFmt numFmtId="166" formatCode="0.00000"/>
    <numFmt numFmtId="167" formatCode="&quot;$&quot;#,##0"/>
    <numFmt numFmtId="168" formatCode="&quot;$&quot;#,##0.000"/>
    <numFmt numFmtId="169" formatCode="0.0"/>
    <numFmt numFmtId="170" formatCode="#,##0.0"/>
    <numFmt numFmtId="171" formatCode="0.0%"/>
    <numFmt numFmtId="172" formatCode="&quot;$&quot;#,##0.00"/>
  </numFmts>
  <fonts count="35" x14ac:knownFonts="1">
    <font>
      <sz val="11"/>
      <color theme="1"/>
      <name val="Calibri"/>
      <family val="2"/>
      <scheme val="minor"/>
    </font>
    <font>
      <sz val="10"/>
      <color rgb="FF231F20"/>
      <name val="Calibri"/>
      <family val="2"/>
      <scheme val="minor"/>
    </font>
    <font>
      <sz val="10"/>
      <color theme="1"/>
      <name val="Times New Roman"/>
      <family val="1"/>
    </font>
    <font>
      <sz val="9"/>
      <color theme="1"/>
      <name val="Times New Roman"/>
      <family val="1"/>
    </font>
    <font>
      <sz val="11"/>
      <color rgb="FF231F20"/>
      <name val="Calibri"/>
      <family val="2"/>
      <scheme val="minor"/>
    </font>
    <font>
      <sz val="6.5"/>
      <color rgb="FF231F20"/>
      <name val="Calibri"/>
      <family val="2"/>
      <scheme val="minor"/>
    </font>
    <font>
      <vertAlign val="superscript"/>
      <sz val="10"/>
      <color rgb="FF231F20"/>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9"/>
      <color theme="1"/>
      <name val="Calibri"/>
      <family val="2"/>
      <scheme val="minor"/>
    </font>
    <font>
      <sz val="10"/>
      <color theme="1"/>
      <name val="Calibri"/>
      <family val="2"/>
      <scheme val="minor"/>
    </font>
    <font>
      <sz val="10"/>
      <color rgb="FF000000"/>
      <name val="Calibri"/>
      <family val="2"/>
      <scheme val="minor"/>
    </font>
    <font>
      <b/>
      <sz val="11"/>
      <color rgb="FFFFFFFF"/>
      <name val="Calibri Light"/>
      <family val="2"/>
      <scheme val="major"/>
    </font>
    <font>
      <sz val="11"/>
      <color theme="1"/>
      <name val="Calibri Light"/>
      <family val="2"/>
      <scheme val="major"/>
    </font>
    <font>
      <sz val="11"/>
      <color rgb="FFFFFFFF"/>
      <name val="Calibri Light"/>
      <family val="2"/>
      <scheme val="major"/>
    </font>
    <font>
      <b/>
      <sz val="14"/>
      <color theme="1"/>
      <name val="Calibri"/>
      <family val="2"/>
      <scheme val="minor"/>
    </font>
    <font>
      <b/>
      <sz val="10"/>
      <color theme="0"/>
      <name val="Calibri"/>
      <family val="2"/>
      <scheme val="minor"/>
    </font>
    <font>
      <b/>
      <sz val="11"/>
      <color theme="0"/>
      <name val="Calibri Light"/>
      <family val="2"/>
      <scheme val="major"/>
    </font>
    <font>
      <sz val="10"/>
      <color theme="1"/>
      <name val="Calibri"/>
      <family val="2"/>
    </font>
    <font>
      <b/>
      <i/>
      <sz val="11"/>
      <color rgb="FFFFFFFF"/>
      <name val="Calibri Light"/>
      <family val="2"/>
      <scheme val="major"/>
    </font>
    <font>
      <b/>
      <sz val="11"/>
      <color rgb="FF231F20"/>
      <name val="Calibri"/>
      <family val="2"/>
      <scheme val="minor"/>
    </font>
    <font>
      <b/>
      <sz val="14"/>
      <name val="Calibri"/>
      <family val="2"/>
      <scheme val="minor"/>
    </font>
    <font>
      <sz val="10"/>
      <color rgb="FFFF0000"/>
      <name val="Calibri"/>
      <family val="2"/>
      <scheme val="minor"/>
    </font>
    <font>
      <sz val="11"/>
      <color theme="0"/>
      <name val="Calibri"/>
      <family val="2"/>
      <scheme val="minor"/>
    </font>
    <font>
      <sz val="10"/>
      <name val="Calibri"/>
      <family val="2"/>
      <scheme val="minor"/>
    </font>
    <font>
      <b/>
      <sz val="12"/>
      <color theme="0"/>
      <name val="Calibri"/>
      <family val="2"/>
      <scheme val="minor"/>
    </font>
    <font>
      <b/>
      <sz val="11"/>
      <color theme="0"/>
      <name val="Calibri"/>
      <family val="2"/>
    </font>
    <font>
      <sz val="10"/>
      <name val="Calibri"/>
      <family val="2"/>
    </font>
    <font>
      <sz val="10"/>
      <color theme="0"/>
      <name val="Calibri"/>
      <family val="2"/>
      <scheme val="minor"/>
    </font>
    <font>
      <sz val="10"/>
      <color theme="1"/>
      <name val="Calibri Light"/>
      <family val="2"/>
      <scheme val="major"/>
    </font>
    <font>
      <sz val="10"/>
      <name val="Calibri Light"/>
      <family val="2"/>
      <scheme val="major"/>
    </font>
    <font>
      <sz val="10"/>
      <color rgb="FF231F20"/>
      <name val="Calibri Light"/>
      <family val="2"/>
      <scheme val="major"/>
    </font>
    <font>
      <sz val="10"/>
      <color theme="2" tint="-0.499984740745262"/>
      <name val="Calibri Light"/>
      <family val="2"/>
      <scheme val="major"/>
    </font>
  </fonts>
  <fills count="20">
    <fill>
      <patternFill patternType="none"/>
    </fill>
    <fill>
      <patternFill patternType="gray125"/>
    </fill>
    <fill>
      <patternFill patternType="solid">
        <fgColor rgb="FFD9D9D9"/>
        <bgColor indexed="64"/>
      </patternFill>
    </fill>
    <fill>
      <patternFill patternType="solid">
        <fgColor rgb="FF4472C4"/>
        <bgColor indexed="64"/>
      </patternFill>
    </fill>
    <fill>
      <patternFill patternType="solid">
        <fgColor rgb="FFFFFFFF"/>
        <bgColor indexed="64"/>
      </patternFill>
    </fill>
    <fill>
      <patternFill patternType="solid">
        <fgColor rgb="FFD0CECE"/>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C6E0B4"/>
        <bgColor indexed="64"/>
      </patternFill>
    </fill>
    <fill>
      <patternFill patternType="solid">
        <fgColor rgb="FFD9E1F2"/>
        <bgColor indexed="64"/>
      </patternFill>
    </fill>
    <fill>
      <patternFill patternType="solid">
        <fgColor rgb="FFDDEBF7"/>
        <bgColor indexed="64"/>
      </patternFill>
    </fill>
    <fill>
      <patternFill patternType="solid">
        <fgColor rgb="FF3A3838"/>
        <bgColor indexed="64"/>
      </patternFill>
    </fill>
    <fill>
      <patternFill patternType="solid">
        <fgColor rgb="FF2F75B5"/>
        <bgColor indexed="64"/>
      </patternFill>
    </fill>
    <fill>
      <patternFill patternType="solid">
        <fgColor rgb="FFA9D08E"/>
        <bgColor indexed="64"/>
      </patternFill>
    </fill>
    <fill>
      <patternFill patternType="solid">
        <fgColor rgb="FF0070C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style="thin">
        <color auto="1"/>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indexed="64"/>
      </bottom>
      <diagonal/>
    </border>
    <border>
      <left style="thin">
        <color rgb="FF000000"/>
      </left>
      <right style="thin">
        <color auto="1"/>
      </right>
      <top/>
      <bottom style="thin">
        <color indexed="64"/>
      </bottom>
      <diagonal/>
    </border>
    <border>
      <left style="thin">
        <color rgb="FF000000"/>
      </left>
      <right style="thin">
        <color auto="1"/>
      </right>
      <top style="thin">
        <color auto="1"/>
      </top>
      <bottom style="thin">
        <color rgb="FF000000"/>
      </bottom>
      <diagonal/>
    </border>
    <border>
      <left/>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165"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627">
    <xf numFmtId="0" fontId="0" fillId="0" borderId="0" xfId="0"/>
    <xf numFmtId="0" fontId="4" fillId="0" borderId="0" xfId="0" applyFont="1" applyAlignment="1">
      <alignment vertical="center"/>
    </xf>
    <xf numFmtId="0" fontId="0" fillId="0" borderId="0" xfId="0" applyBorder="1"/>
    <xf numFmtId="0" fontId="2" fillId="0" borderId="0" xfId="0" applyFont="1" applyBorder="1" applyAlignment="1">
      <alignment vertical="center" wrapText="1"/>
    </xf>
    <xf numFmtId="0" fontId="1" fillId="5" borderId="1" xfId="0" applyFont="1" applyFill="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vertical="center" wrapText="1"/>
    </xf>
    <xf numFmtId="0" fontId="0" fillId="6" borderId="0" xfId="0" applyFill="1"/>
    <xf numFmtId="0" fontId="8" fillId="6" borderId="0" xfId="0" applyFont="1" applyFill="1" applyBorder="1" applyAlignment="1">
      <alignment horizontal="left" vertical="center"/>
    </xf>
    <xf numFmtId="0" fontId="12" fillId="8" borderId="1" xfId="0" applyFont="1" applyFill="1" applyBorder="1" applyAlignment="1">
      <alignment vertical="center" wrapText="1"/>
    </xf>
    <xf numFmtId="0" fontId="0" fillId="0" borderId="0" xfId="0" applyAlignment="1">
      <alignment horizontal="center" vertical="top"/>
    </xf>
    <xf numFmtId="0" fontId="19" fillId="7" borderId="1" xfId="0" applyFont="1" applyFill="1" applyBorder="1" applyAlignment="1">
      <alignment horizontal="left" vertical="center" wrapText="1" indent="1"/>
    </xf>
    <xf numFmtId="0" fontId="14" fillId="7" borderId="3" xfId="0" applyFont="1" applyFill="1" applyBorder="1" applyAlignment="1">
      <alignment horizontal="center" vertical="top" wrapText="1"/>
    </xf>
    <xf numFmtId="0" fontId="22" fillId="0" borderId="0" xfId="0" applyFont="1" applyAlignment="1">
      <alignment vertical="center"/>
    </xf>
    <xf numFmtId="0" fontId="19" fillId="7" borderId="16" xfId="0" applyFont="1" applyFill="1" applyBorder="1" applyAlignment="1">
      <alignment horizontal="center" vertical="center" wrapText="1"/>
    </xf>
    <xf numFmtId="0" fontId="19" fillId="7" borderId="1" xfId="0" applyFont="1" applyFill="1" applyBorder="1" applyAlignment="1">
      <alignment horizontal="left" vertical="center" wrapText="1" indent="2"/>
    </xf>
    <xf numFmtId="0" fontId="19" fillId="7" borderId="1" xfId="0" applyFont="1" applyFill="1" applyBorder="1" applyAlignment="1">
      <alignment vertical="center" textRotation="180" wrapText="1"/>
    </xf>
    <xf numFmtId="0" fontId="12" fillId="8" borderId="1" xfId="0" applyFont="1" applyFill="1" applyBorder="1" applyAlignment="1">
      <alignment horizontal="left" vertical="top" wrapText="1"/>
    </xf>
    <xf numFmtId="0" fontId="1" fillId="8" borderId="20" xfId="0" applyFont="1" applyFill="1" applyBorder="1" applyAlignment="1">
      <alignment horizontal="left" vertical="top" wrapText="1"/>
    </xf>
    <xf numFmtId="0" fontId="1" fillId="8" borderId="1" xfId="0" applyFont="1" applyFill="1" applyBorder="1" applyAlignment="1">
      <alignment vertical="center" wrapText="1"/>
    </xf>
    <xf numFmtId="0" fontId="0" fillId="0" borderId="0" xfId="0" applyFill="1"/>
    <xf numFmtId="0" fontId="1" fillId="0" borderId="1" xfId="0" applyFont="1" applyFill="1" applyBorder="1" applyAlignment="1">
      <alignment vertical="center" wrapText="1"/>
    </xf>
    <xf numFmtId="0" fontId="12" fillId="12" borderId="1" xfId="0" applyFont="1" applyFill="1" applyBorder="1" applyAlignment="1">
      <alignment vertical="center" wrapText="1"/>
    </xf>
    <xf numFmtId="0" fontId="23" fillId="9" borderId="29" xfId="0" applyFont="1" applyFill="1" applyBorder="1"/>
    <xf numFmtId="0" fontId="1" fillId="0" borderId="20" xfId="0" applyFont="1" applyFill="1" applyBorder="1" applyAlignment="1">
      <alignment vertical="center" wrapText="1"/>
    </xf>
    <xf numFmtId="0" fontId="12" fillId="12" borderId="20" xfId="0" applyFont="1" applyFill="1" applyBorder="1" applyAlignment="1">
      <alignment vertical="center" wrapText="1"/>
    </xf>
    <xf numFmtId="0" fontId="17" fillId="9" borderId="30" xfId="0" applyFont="1" applyFill="1" applyBorder="1"/>
    <xf numFmtId="0" fontId="17" fillId="9" borderId="31" xfId="0" applyFont="1" applyFill="1" applyBorder="1"/>
    <xf numFmtId="0" fontId="0" fillId="0" borderId="0" xfId="0" applyAlignment="1">
      <alignment wrapText="1"/>
    </xf>
    <xf numFmtId="0" fontId="1" fillId="8" borderId="1" xfId="0" applyFont="1" applyFill="1" applyBorder="1" applyAlignment="1">
      <alignment horizontal="left" vertical="top" wrapText="1"/>
    </xf>
    <xf numFmtId="0" fontId="12" fillId="16" borderId="1" xfId="0" applyFont="1" applyFill="1" applyBorder="1" applyAlignment="1">
      <alignment vertical="center" wrapText="1"/>
    </xf>
    <xf numFmtId="0" fontId="12" fillId="16" borderId="20" xfId="0" applyFont="1" applyFill="1" applyBorder="1" applyAlignment="1">
      <alignment vertical="center" wrapText="1"/>
    </xf>
    <xf numFmtId="0" fontId="12" fillId="0" borderId="0" xfId="0" applyFont="1" applyAlignment="1">
      <alignment vertical="center" wrapText="1"/>
    </xf>
    <xf numFmtId="0" fontId="16" fillId="7" borderId="16" xfId="0" applyFont="1" applyFill="1" applyBorder="1" applyAlignment="1">
      <alignment horizontal="center" vertical="center" wrapText="1" readingOrder="1"/>
    </xf>
    <xf numFmtId="0" fontId="14" fillId="3" borderId="16" xfId="0" applyFont="1" applyFill="1" applyBorder="1" applyAlignment="1">
      <alignment horizontal="center" vertical="center" wrapText="1"/>
    </xf>
    <xf numFmtId="0" fontId="1" fillId="8" borderId="16" xfId="0" applyFont="1" applyFill="1" applyBorder="1" applyAlignment="1">
      <alignment vertical="center" wrapText="1"/>
    </xf>
    <xf numFmtId="0" fontId="1" fillId="2" borderId="1" xfId="0" applyFont="1" applyFill="1" applyBorder="1" applyAlignment="1">
      <alignment vertical="center" wrapText="1"/>
    </xf>
    <xf numFmtId="0" fontId="12" fillId="8" borderId="16" xfId="0"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4" fontId="20" fillId="0" borderId="16" xfId="0" applyNumberFormat="1" applyFont="1" applyFill="1" applyBorder="1" applyAlignment="1">
      <alignment horizontal="center" vertical="center" wrapText="1"/>
    </xf>
    <xf numFmtId="0" fontId="20" fillId="2" borderId="1" xfId="0" applyFont="1" applyFill="1" applyBorder="1" applyAlignment="1">
      <alignment vertical="center" wrapText="1"/>
    </xf>
    <xf numFmtId="10" fontId="20" fillId="2" borderId="1" xfId="0" applyNumberFormat="1" applyFont="1" applyFill="1" applyBorder="1" applyAlignment="1">
      <alignment vertical="center" wrapText="1"/>
    </xf>
    <xf numFmtId="3" fontId="20" fillId="0" borderId="1" xfId="0" applyNumberFormat="1" applyFont="1" applyFill="1" applyBorder="1" applyAlignment="1">
      <alignment horizontal="center" vertical="center" wrapText="1"/>
    </xf>
    <xf numFmtId="3" fontId="20" fillId="8" borderId="1" xfId="2" applyFont="1" applyFill="1" applyBorder="1" applyAlignment="1">
      <alignment horizontal="center" vertical="center" wrapText="1"/>
    </xf>
    <xf numFmtId="165" fontId="20" fillId="8" borderId="1" xfId="1" applyFont="1" applyFill="1" applyBorder="1" applyAlignment="1">
      <alignment horizontal="center" vertical="center" wrapText="1"/>
    </xf>
    <xf numFmtId="3" fontId="20" fillId="8" borderId="1" xfId="0" applyNumberFormat="1" applyFont="1" applyFill="1" applyBorder="1" applyAlignment="1">
      <alignment horizontal="center" vertical="center" wrapText="1"/>
    </xf>
    <xf numFmtId="3" fontId="20" fillId="8" borderId="20" xfId="0" applyNumberFormat="1" applyFont="1" applyFill="1" applyBorder="1" applyAlignment="1">
      <alignment horizontal="center" vertical="center" wrapText="1"/>
    </xf>
    <xf numFmtId="0" fontId="12" fillId="8" borderId="1" xfId="0" applyFont="1" applyFill="1" applyBorder="1"/>
    <xf numFmtId="0" fontId="12" fillId="0" borderId="1" xfId="0" applyFont="1" applyBorder="1"/>
    <xf numFmtId="168" fontId="12" fillId="0" borderId="1" xfId="0" applyNumberFormat="1" applyFont="1" applyBorder="1" applyAlignment="1">
      <alignment horizontal="center" vertical="center"/>
    </xf>
    <xf numFmtId="168" fontId="12" fillId="8"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9" fontId="12" fillId="8" borderId="1" xfId="0" applyNumberFormat="1" applyFont="1" applyFill="1" applyBorder="1" applyAlignment="1">
      <alignment horizontal="center" vertical="center"/>
    </xf>
    <xf numFmtId="0" fontId="27" fillId="7" borderId="1" xfId="0" applyFont="1" applyFill="1" applyBorder="1" applyAlignment="1">
      <alignment horizontal="center" vertical="center"/>
    </xf>
    <xf numFmtId="0" fontId="7" fillId="7" borderId="1" xfId="0" applyFont="1" applyFill="1" applyBorder="1" applyAlignment="1">
      <alignment horizontal="center"/>
    </xf>
    <xf numFmtId="0" fontId="7" fillId="7" borderId="18" xfId="0" applyFont="1" applyFill="1" applyBorder="1" applyAlignment="1">
      <alignment horizontal="center"/>
    </xf>
    <xf numFmtId="0" fontId="18" fillId="7" borderId="1" xfId="0" applyFont="1" applyFill="1" applyBorder="1" applyAlignment="1">
      <alignment horizontal="center" vertical="center" textRotation="180" wrapText="1"/>
    </xf>
    <xf numFmtId="0" fontId="18" fillId="7" borderId="1" xfId="0" applyFont="1" applyFill="1" applyBorder="1" applyAlignment="1">
      <alignment horizontal="center" vertical="center"/>
    </xf>
    <xf numFmtId="0" fontId="0" fillId="9" borderId="0" xfId="0" applyFill="1"/>
    <xf numFmtId="0" fontId="12" fillId="0" borderId="2" xfId="0" applyFont="1" applyBorder="1" applyAlignment="1">
      <alignment horizontal="center" vertical="center"/>
    </xf>
    <xf numFmtId="10" fontId="12" fillId="0" borderId="1" xfId="0" applyNumberFormat="1" applyFont="1" applyBorder="1" applyAlignment="1">
      <alignment horizontal="center" vertical="center"/>
    </xf>
    <xf numFmtId="10" fontId="12" fillId="8" borderId="1" xfId="0" applyNumberFormat="1" applyFont="1" applyFill="1" applyBorder="1" applyAlignment="1">
      <alignment horizontal="center" vertical="center"/>
    </xf>
    <xf numFmtId="169" fontId="12" fillId="8" borderId="1" xfId="0" applyNumberFormat="1" applyFont="1" applyFill="1" applyBorder="1" applyAlignment="1">
      <alignment horizontal="center" vertical="center"/>
    </xf>
    <xf numFmtId="170" fontId="12" fillId="8" borderId="1" xfId="0" applyNumberFormat="1" applyFont="1" applyFill="1" applyBorder="1" applyAlignment="1">
      <alignment horizontal="center" vertical="center"/>
    </xf>
    <xf numFmtId="171" fontId="12" fillId="0" borderId="1" xfId="4" applyNumberFormat="1" applyFont="1" applyBorder="1" applyAlignment="1">
      <alignment horizontal="center" vertical="center"/>
    </xf>
    <xf numFmtId="6" fontId="12" fillId="8" borderId="1" xfId="0" applyNumberFormat="1" applyFont="1" applyFill="1" applyBorder="1" applyAlignment="1">
      <alignment horizontal="center" vertical="center"/>
    </xf>
    <xf numFmtId="0" fontId="26" fillId="0" borderId="1" xfId="0" applyFont="1" applyBorder="1" applyAlignment="1">
      <alignment horizontal="center" vertical="center"/>
    </xf>
    <xf numFmtId="10" fontId="0" fillId="0" borderId="0" xfId="0" applyNumberFormat="1"/>
    <xf numFmtId="172" fontId="12" fillId="0" borderId="1" xfId="0" applyNumberFormat="1" applyFont="1" applyBorder="1" applyAlignment="1">
      <alignment horizontal="center" vertical="center"/>
    </xf>
    <xf numFmtId="0" fontId="12" fillId="0" borderId="0" xfId="0" applyFont="1"/>
    <xf numFmtId="169" fontId="12" fillId="0" borderId="1" xfId="4" applyNumberFormat="1" applyFont="1" applyBorder="1" applyAlignment="1">
      <alignment horizontal="center" vertical="center"/>
    </xf>
    <xf numFmtId="0" fontId="0" fillId="6" borderId="15" xfId="0" applyFill="1" applyBorder="1"/>
    <xf numFmtId="1" fontId="12" fillId="0" borderId="1" xfId="0" applyNumberFormat="1" applyFont="1" applyBorder="1" applyAlignment="1">
      <alignment horizontal="center" vertical="center"/>
    </xf>
    <xf numFmtId="0" fontId="10" fillId="0" borderId="0" xfId="0" applyFont="1"/>
    <xf numFmtId="6" fontId="12" fillId="0" borderId="4" xfId="0" applyNumberFormat="1" applyFont="1" applyBorder="1" applyAlignment="1">
      <alignment horizontal="right" vertical="center"/>
    </xf>
    <xf numFmtId="6" fontId="12" fillId="8" borderId="16" xfId="0" applyNumberFormat="1" applyFont="1" applyFill="1" applyBorder="1" applyAlignment="1">
      <alignment horizontal="center" vertical="center"/>
    </xf>
    <xf numFmtId="6" fontId="12" fillId="8" borderId="4" xfId="0" applyNumberFormat="1" applyFont="1" applyFill="1" applyBorder="1" applyAlignment="1">
      <alignment horizontal="center" vertical="center"/>
    </xf>
    <xf numFmtId="0" fontId="28" fillId="7" borderId="1" xfId="0" applyFont="1" applyFill="1" applyBorder="1" applyAlignment="1">
      <alignment horizontal="center" vertical="center"/>
    </xf>
    <xf numFmtId="0" fontId="29" fillId="0" borderId="1" xfId="0" applyFont="1" applyBorder="1" applyAlignment="1">
      <alignment horizontal="center" vertical="center" wrapText="1"/>
    </xf>
    <xf numFmtId="171" fontId="12" fillId="0" borderId="1" xfId="0" applyNumberFormat="1" applyFont="1" applyBorder="1" applyAlignment="1">
      <alignment horizontal="center" vertical="center"/>
    </xf>
    <xf numFmtId="167" fontId="12" fillId="0" borderId="0" xfId="0" applyNumberFormat="1" applyFont="1" applyAlignment="1">
      <alignment horizontal="center"/>
    </xf>
    <xf numFmtId="171" fontId="12" fillId="8" borderId="1" xfId="0" applyNumberFormat="1" applyFont="1" applyFill="1" applyBorder="1" applyAlignment="1">
      <alignment horizontal="center" vertical="center"/>
    </xf>
    <xf numFmtId="9" fontId="12" fillId="0" borderId="1" xfId="0" applyNumberFormat="1" applyFont="1" applyBorder="1" applyAlignment="1">
      <alignment horizontal="center" vertical="center"/>
    </xf>
    <xf numFmtId="167" fontId="0" fillId="0" borderId="0" xfId="0" applyNumberFormat="1"/>
    <xf numFmtId="167" fontId="12" fillId="0" borderId="0" xfId="0" applyNumberFormat="1" applyFont="1" applyAlignment="1">
      <alignment horizontal="center" vertical="center"/>
    </xf>
    <xf numFmtId="3" fontId="0" fillId="0" borderId="0" xfId="0" applyNumberFormat="1"/>
    <xf numFmtId="0" fontId="25" fillId="7" borderId="1" xfId="0" applyFont="1" applyFill="1" applyBorder="1" applyAlignment="1">
      <alignment horizontal="center"/>
    </xf>
    <xf numFmtId="0" fontId="25" fillId="7" borderId="1" xfId="0" applyFont="1" applyFill="1" applyBorder="1" applyAlignment="1">
      <alignment horizontal="center" wrapText="1"/>
    </xf>
    <xf numFmtId="0" fontId="25" fillId="7" borderId="20" xfId="0" applyFont="1" applyFill="1" applyBorder="1" applyAlignment="1">
      <alignment horizontal="center" wrapText="1"/>
    </xf>
    <xf numFmtId="0" fontId="30" fillId="7" borderId="1" xfId="0" applyFont="1" applyFill="1" applyBorder="1" applyAlignment="1">
      <alignment horizontal="center" vertical="center"/>
    </xf>
    <xf numFmtId="172" fontId="12" fillId="8" borderId="1" xfId="0" applyNumberFormat="1" applyFont="1" applyFill="1" applyBorder="1" applyAlignment="1">
      <alignment horizontal="center" vertical="center"/>
    </xf>
    <xf numFmtId="6" fontId="12" fillId="8" borderId="1" xfId="0" applyNumberFormat="1" applyFont="1" applyFill="1" applyBorder="1" applyAlignment="1">
      <alignment horizontal="center" vertical="center" wrapText="1"/>
    </xf>
    <xf numFmtId="8" fontId="12" fillId="8" borderId="1" xfId="0" applyNumberFormat="1" applyFont="1" applyFill="1" applyBorder="1" applyAlignment="1">
      <alignment horizontal="center" vertical="center" wrapText="1"/>
    </xf>
    <xf numFmtId="6" fontId="12" fillId="0" borderId="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170" fontId="12" fillId="0" borderId="1" xfId="0" applyNumberFormat="1" applyFont="1" applyBorder="1" applyAlignment="1">
      <alignment horizontal="center" vertical="center"/>
    </xf>
    <xf numFmtId="0" fontId="7" fillId="19"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25" fillId="6" borderId="0" xfId="0" applyFont="1" applyFill="1"/>
    <xf numFmtId="0" fontId="12" fillId="0" borderId="16" xfId="0" applyFont="1" applyFill="1" applyBorder="1" applyAlignment="1">
      <alignment vertical="top" wrapText="1"/>
    </xf>
    <xf numFmtId="0" fontId="12" fillId="2" borderId="16" xfId="0" applyFont="1" applyFill="1" applyBorder="1" applyAlignment="1">
      <alignment vertical="top" wrapText="1"/>
    </xf>
    <xf numFmtId="0" fontId="20" fillId="2" borderId="1" xfId="0" applyFont="1" applyFill="1" applyBorder="1" applyAlignment="1">
      <alignment horizontal="center" vertical="center" wrapText="1"/>
    </xf>
    <xf numFmtId="0" fontId="12" fillId="8" borderId="1" xfId="0" applyFont="1" applyFill="1" applyBorder="1" applyAlignment="1">
      <alignment horizontal="left" vertical="center"/>
    </xf>
    <xf numFmtId="0" fontId="30" fillId="7" borderId="1" xfId="0" applyFont="1" applyFill="1" applyBorder="1" applyAlignment="1">
      <alignment horizontal="center" vertical="center" wrapText="1"/>
    </xf>
    <xf numFmtId="167" fontId="12" fillId="0" borderId="16" xfId="0" applyNumberFormat="1" applyFont="1" applyBorder="1" applyAlignment="1">
      <alignment horizontal="center" vertical="center"/>
    </xf>
    <xf numFmtId="6" fontId="0" fillId="0" borderId="0" xfId="0" applyNumberFormat="1"/>
    <xf numFmtId="0" fontId="12" fillId="0" borderId="1" xfId="0" applyFont="1" applyBorder="1" applyAlignment="1">
      <alignment horizontal="left" vertical="center"/>
    </xf>
    <xf numFmtId="0" fontId="12" fillId="8" borderId="1" xfId="0" applyFont="1" applyFill="1" applyBorder="1" applyAlignment="1">
      <alignment horizontal="left" vertical="center" wrapText="1"/>
    </xf>
    <xf numFmtId="0" fontId="12" fillId="0" borderId="1" xfId="0" applyFont="1" applyBorder="1" applyAlignment="1">
      <alignment vertical="center"/>
    </xf>
    <xf numFmtId="0" fontId="12" fillId="8" borderId="1" xfId="0" applyFont="1" applyFill="1" applyBorder="1" applyAlignment="1">
      <alignment vertical="center"/>
    </xf>
    <xf numFmtId="0" fontId="0" fillId="8" borderId="1" xfId="0" applyFill="1" applyBorder="1" applyAlignment="1">
      <alignment horizontal="center" vertical="center" wrapText="1"/>
    </xf>
    <xf numFmtId="0" fontId="12" fillId="8" borderId="16" xfId="0" applyFont="1" applyFill="1" applyBorder="1" applyAlignment="1">
      <alignment horizontal="center" vertical="center"/>
    </xf>
    <xf numFmtId="0" fontId="12" fillId="0" borderId="16"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vertical="top" wrapText="1"/>
    </xf>
    <xf numFmtId="165" fontId="20" fillId="0" borderId="16" xfId="1" applyFont="1" applyFill="1" applyBorder="1" applyAlignment="1">
      <alignment horizontal="center" vertical="center" wrapText="1"/>
    </xf>
    <xf numFmtId="0" fontId="20" fillId="0" borderId="16" xfId="0" applyFont="1" applyFill="1" applyBorder="1" applyAlignment="1">
      <alignment horizontal="center" vertical="center" wrapText="1"/>
    </xf>
    <xf numFmtId="166" fontId="20" fillId="0" borderId="16" xfId="1" applyNumberFormat="1" applyFont="1" applyFill="1" applyBorder="1" applyAlignment="1">
      <alignment horizontal="center" vertical="center" wrapText="1"/>
    </xf>
    <xf numFmtId="2" fontId="20" fillId="0" borderId="16" xfId="0" applyNumberFormat="1" applyFont="1" applyFill="1" applyBorder="1" applyAlignment="1">
      <alignment horizontal="center" vertical="center" wrapText="1"/>
    </xf>
    <xf numFmtId="0" fontId="12" fillId="0" borderId="16" xfId="0" applyFont="1" applyBorder="1" applyAlignment="1">
      <alignment horizontal="center" vertical="center" wrapText="1"/>
    </xf>
    <xf numFmtId="8" fontId="12" fillId="0" borderId="16" xfId="0" applyNumberFormat="1" applyFont="1" applyBorder="1" applyAlignment="1">
      <alignment horizontal="center" vertical="center" wrapText="1"/>
    </xf>
    <xf numFmtId="164" fontId="12" fillId="0" borderId="16"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6" borderId="1" xfId="0" applyFont="1" applyFill="1" applyBorder="1" applyAlignment="1">
      <alignment horizontal="center" vertical="center" wrapText="1"/>
    </xf>
    <xf numFmtId="3" fontId="12" fillId="8" borderId="1" xfId="0" applyNumberFormat="1"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9" fontId="12" fillId="8" borderId="1" xfId="0" applyNumberFormat="1" applyFont="1" applyFill="1" applyBorder="1" applyAlignment="1">
      <alignment horizontal="center" vertical="center" wrapText="1"/>
    </xf>
    <xf numFmtId="9" fontId="12" fillId="6" borderId="1" xfId="0" applyNumberFormat="1" applyFont="1" applyFill="1" applyBorder="1" applyAlignment="1">
      <alignment horizontal="center" vertical="center" wrapText="1"/>
    </xf>
    <xf numFmtId="0" fontId="0" fillId="6" borderId="0" xfId="0" applyFill="1" applyBorder="1" applyAlignment="1">
      <alignment vertical="center"/>
    </xf>
    <xf numFmtId="0" fontId="0" fillId="6" borderId="0" xfId="0" applyFill="1" applyAlignment="1">
      <alignment vertical="center"/>
    </xf>
    <xf numFmtId="0" fontId="0" fillId="0" borderId="0" xfId="0" applyBorder="1" applyAlignment="1">
      <alignment vertical="center"/>
    </xf>
    <xf numFmtId="0" fontId="1" fillId="0" borderId="16"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9" fillId="7" borderId="16" xfId="0" applyFont="1" applyFill="1" applyBorder="1" applyAlignment="1">
      <alignment horizontal="left" vertical="center" wrapText="1"/>
    </xf>
    <xf numFmtId="2" fontId="0" fillId="0" borderId="0" xfId="0" applyNumberFormat="1" applyAlignment="1">
      <alignment vertical="center"/>
    </xf>
    <xf numFmtId="6" fontId="12" fillId="0" borderId="16" xfId="0" applyNumberFormat="1" applyFont="1" applyBorder="1" applyAlignment="1">
      <alignment vertical="center"/>
    </xf>
    <xf numFmtId="0" fontId="12" fillId="0" borderId="6" xfId="0" applyFont="1" applyBorder="1" applyAlignment="1">
      <alignment horizontal="left" vertical="center"/>
    </xf>
    <xf numFmtId="0" fontId="12" fillId="8" borderId="6"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12" fillId="0" borderId="1" xfId="0" applyFont="1" applyBorder="1" applyAlignment="1">
      <alignment horizontal="left" vertical="top" wrapText="1"/>
    </xf>
    <xf numFmtId="0" fontId="12" fillId="8" borderId="1" xfId="0" applyFont="1" applyFill="1" applyBorder="1" applyAlignment="1">
      <alignment vertical="top"/>
    </xf>
    <xf numFmtId="0" fontId="12" fillId="0" borderId="1" xfId="0" applyFont="1" applyBorder="1" applyAlignment="1">
      <alignment horizontal="center" vertical="top" wrapText="1"/>
    </xf>
    <xf numFmtId="0" fontId="0" fillId="0" borderId="1" xfId="0" applyBorder="1" applyAlignment="1">
      <alignment vertical="center"/>
    </xf>
    <xf numFmtId="0" fontId="12" fillId="6" borderId="1" xfId="0" applyFont="1" applyFill="1" applyBorder="1" applyAlignment="1">
      <alignment vertical="center" wrapText="1"/>
    </xf>
    <xf numFmtId="0" fontId="0" fillId="0" borderId="18" xfId="0" applyBorder="1" applyAlignment="1">
      <alignment horizontal="center"/>
    </xf>
    <xf numFmtId="6" fontId="13" fillId="0" borderId="16" xfId="0" applyNumberFormat="1" applyFont="1" applyFill="1" applyBorder="1" applyAlignment="1">
      <alignment horizontal="center" vertical="center" wrapText="1" readingOrder="1"/>
    </xf>
    <xf numFmtId="0" fontId="13" fillId="0" borderId="16" xfId="0" applyFont="1" applyFill="1" applyBorder="1" applyAlignment="1">
      <alignment horizontal="center" vertical="center" wrapText="1" readingOrder="1"/>
    </xf>
    <xf numFmtId="8" fontId="13" fillId="0" borderId="16" xfId="0" applyNumberFormat="1" applyFont="1" applyFill="1" applyBorder="1" applyAlignment="1">
      <alignment horizontal="center" vertical="center" wrapText="1" readingOrder="1"/>
    </xf>
    <xf numFmtId="0" fontId="1" fillId="0" borderId="16" xfId="0" applyFont="1" applyBorder="1" applyAlignment="1">
      <alignment horizontal="left" vertical="center" wrapText="1"/>
    </xf>
    <xf numFmtId="0" fontId="1" fillId="0" borderId="16" xfId="0" applyFont="1" applyBorder="1" applyAlignment="1">
      <alignment horizontal="center" vertical="center" wrapText="1"/>
    </xf>
    <xf numFmtId="0" fontId="1" fillId="8" borderId="16" xfId="0" applyFont="1" applyFill="1" applyBorder="1" applyAlignment="1">
      <alignment horizontal="center" vertical="center" wrapText="1"/>
    </xf>
    <xf numFmtId="0" fontId="1" fillId="8" borderId="16"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8" fillId="0" borderId="0" xfId="0" applyFont="1" applyAlignment="1">
      <alignment horizontal="left"/>
    </xf>
    <xf numFmtId="0" fontId="12" fillId="6" borderId="1" xfId="0" applyFont="1" applyFill="1" applyBorder="1" applyAlignment="1">
      <alignment horizontal="left" vertical="top" wrapText="1"/>
    </xf>
    <xf numFmtId="0" fontId="12" fillId="11"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8" borderId="1" xfId="0" applyFont="1" applyFill="1" applyBorder="1" applyAlignment="1">
      <alignment horizontal="left" vertical="center" wrapText="1"/>
    </xf>
    <xf numFmtId="0" fontId="0" fillId="6" borderId="0" xfId="0" applyFill="1" applyBorder="1"/>
    <xf numFmtId="0" fontId="19" fillId="7" borderId="1" xfId="0" applyFont="1" applyFill="1" applyBorder="1" applyAlignment="1">
      <alignment horizontal="center" vertical="center" textRotation="180" wrapText="1"/>
    </xf>
    <xf numFmtId="0" fontId="12" fillId="2"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9" fillId="7" borderId="6" xfId="0" applyFont="1" applyFill="1" applyBorder="1" applyAlignment="1">
      <alignment vertical="center" wrapText="1"/>
    </xf>
    <xf numFmtId="0" fontId="19" fillId="7" borderId="8" xfId="0" applyFont="1" applyFill="1" applyBorder="1" applyAlignment="1">
      <alignment vertical="center" wrapText="1"/>
    </xf>
    <xf numFmtId="0" fontId="31" fillId="0"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xf>
    <xf numFmtId="0" fontId="32" fillId="4" borderId="1" xfId="0" applyFont="1" applyFill="1" applyBorder="1" applyAlignment="1">
      <alignment horizontal="center" vertical="center"/>
    </xf>
    <xf numFmtId="0" fontId="31" fillId="4" borderId="1" xfId="0" applyFont="1" applyFill="1" applyBorder="1" applyAlignment="1">
      <alignment horizontal="center" vertical="center" wrapText="1"/>
    </xf>
    <xf numFmtId="0" fontId="20" fillId="0" borderId="16" xfId="0" applyFont="1" applyBorder="1" applyAlignment="1">
      <alignment horizontal="center" vertical="center" wrapText="1"/>
    </xf>
    <xf numFmtId="0" fontId="2" fillId="16" borderId="16" xfId="0" applyFont="1" applyFill="1" applyBorder="1" applyAlignment="1">
      <alignment horizontal="center" vertical="center" wrapText="1"/>
    </xf>
    <xf numFmtId="3" fontId="20" fillId="0" borderId="16" xfId="0" applyNumberFormat="1" applyFont="1" applyBorder="1" applyAlignment="1">
      <alignment horizontal="center" vertical="center" wrapText="1"/>
    </xf>
    <xf numFmtId="0" fontId="3" fillId="16"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10" borderId="16"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0" fontId="31" fillId="4" borderId="1"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1" fillId="0" borderId="1" xfId="0" applyFont="1" applyBorder="1" applyAlignment="1">
      <alignment vertical="top" wrapText="1"/>
    </xf>
    <xf numFmtId="0" fontId="1" fillId="8" borderId="1" xfId="0" applyFont="1" applyFill="1" applyBorder="1" applyAlignment="1">
      <alignment vertical="top" wrapText="1"/>
    </xf>
    <xf numFmtId="0" fontId="12" fillId="8" borderId="1" xfId="0" applyFont="1" applyFill="1" applyBorder="1" applyAlignment="1">
      <alignment horizontal="left" vertical="top"/>
    </xf>
    <xf numFmtId="0" fontId="25" fillId="7" borderId="1" xfId="0" applyFont="1" applyFill="1" applyBorder="1" applyAlignment="1">
      <alignment horizontal="center" vertical="center"/>
    </xf>
    <xf numFmtId="3" fontId="0" fillId="0" borderId="1" xfId="0" applyNumberFormat="1" applyBorder="1" applyAlignment="1">
      <alignment horizontal="center" vertical="center"/>
    </xf>
    <xf numFmtId="3" fontId="0" fillId="0" borderId="18" xfId="0" applyNumberFormat="1" applyBorder="1" applyAlignment="1">
      <alignment horizontal="center" vertical="center"/>
    </xf>
    <xf numFmtId="0" fontId="25" fillId="7" borderId="1"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7" fillId="6" borderId="0" xfId="0" applyFont="1" applyFill="1" applyBorder="1" applyAlignment="1">
      <alignment horizontal="center"/>
    </xf>
    <xf numFmtId="0" fontId="12" fillId="0" borderId="3" xfId="0" applyFont="1" applyBorder="1" applyAlignment="1">
      <alignment horizontal="center"/>
    </xf>
    <xf numFmtId="0" fontId="12" fillId="8" borderId="4" xfId="0" applyFont="1" applyFill="1" applyBorder="1" applyAlignment="1">
      <alignment horizontal="center" vertical="center"/>
    </xf>
    <xf numFmtId="0" fontId="7" fillId="7" borderId="6" xfId="0" applyFont="1" applyFill="1" applyBorder="1" applyAlignment="1">
      <alignment horizontal="center"/>
    </xf>
    <xf numFmtId="0" fontId="17" fillId="9" borderId="5" xfId="0" applyFont="1" applyFill="1" applyBorder="1"/>
    <xf numFmtId="0" fontId="0" fillId="9" borderId="9" xfId="0" applyFill="1" applyBorder="1"/>
    <xf numFmtId="0" fontId="0" fillId="9" borderId="10" xfId="0" applyFill="1" applyBorder="1"/>
    <xf numFmtId="0" fontId="0" fillId="6" borderId="5" xfId="0" applyFill="1" applyBorder="1"/>
    <xf numFmtId="0" fontId="0" fillId="6" borderId="9" xfId="0" applyFill="1" applyBorder="1"/>
    <xf numFmtId="0" fontId="0" fillId="6" borderId="10" xfId="0" applyFill="1" applyBorder="1"/>
    <xf numFmtId="0" fontId="0" fillId="6" borderId="14" xfId="0" applyFill="1" applyBorder="1"/>
    <xf numFmtId="0" fontId="0" fillId="6" borderId="11" xfId="0" applyFill="1" applyBorder="1"/>
    <xf numFmtId="0" fontId="0" fillId="6" borderId="12" xfId="0" applyFill="1" applyBorder="1"/>
    <xf numFmtId="0" fontId="0" fillId="6" borderId="13" xfId="0" applyFill="1" applyBorder="1"/>
    <xf numFmtId="0" fontId="12" fillId="8" borderId="16" xfId="0" applyFont="1" applyFill="1" applyBorder="1" applyAlignment="1">
      <alignment vertical="center" wrapText="1"/>
    </xf>
    <xf numFmtId="0" fontId="12" fillId="0" borderId="16" xfId="0" applyFont="1" applyBorder="1" applyAlignment="1">
      <alignment vertical="center" wrapText="1"/>
    </xf>
    <xf numFmtId="0" fontId="1" fillId="0" borderId="16" xfId="0" applyFont="1" applyBorder="1" applyAlignment="1">
      <alignment vertical="center" wrapText="1"/>
    </xf>
    <xf numFmtId="0" fontId="19" fillId="7" borderId="1"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0" fontId="12" fillId="0" borderId="1" xfId="0" applyFont="1" applyBorder="1" applyAlignment="1">
      <alignment horizontal="center" vertical="center" wrapText="1"/>
    </xf>
    <xf numFmtId="0" fontId="1" fillId="0" borderId="16" xfId="0" applyFont="1" applyBorder="1" applyAlignment="1">
      <alignment vertical="center" wrapText="1"/>
    </xf>
    <xf numFmtId="0" fontId="19" fillId="7"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 xfId="0" applyFont="1" applyFill="1" applyBorder="1" applyAlignment="1">
      <alignment vertical="center" wrapText="1"/>
    </xf>
    <xf numFmtId="0" fontId="12" fillId="8" borderId="6" xfId="0" applyFont="1" applyFill="1" applyBorder="1" applyAlignment="1">
      <alignment horizontal="center" vertical="center"/>
    </xf>
    <xf numFmtId="0" fontId="7" fillId="7" borderId="1" xfId="0" applyFont="1" applyFill="1" applyBorder="1" applyAlignment="1">
      <alignment horizontal="center" vertical="center" textRotation="180" wrapText="1"/>
    </xf>
    <xf numFmtId="0" fontId="12" fillId="0" borderId="6" xfId="0" applyFont="1" applyBorder="1" applyAlignment="1">
      <alignment horizontal="center" vertical="center"/>
    </xf>
    <xf numFmtId="0" fontId="12" fillId="8" borderId="4" xfId="0" applyFont="1" applyFill="1" applyBorder="1" applyAlignment="1">
      <alignment horizontal="center" vertical="center" wrapText="1"/>
    </xf>
    <xf numFmtId="0" fontId="12" fillId="0" borderId="1" xfId="0" applyFont="1" applyBorder="1" applyAlignment="1">
      <alignment horizontal="center" vertical="center"/>
    </xf>
    <xf numFmtId="0" fontId="12" fillId="8" borderId="1" xfId="0" applyFont="1" applyFill="1" applyBorder="1" applyAlignment="1">
      <alignment horizontal="center" vertical="center"/>
    </xf>
    <xf numFmtId="0" fontId="12" fillId="0" borderId="1"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wrapText="1"/>
    </xf>
    <xf numFmtId="0" fontId="12" fillId="0" borderId="3" xfId="0" applyFont="1" applyBorder="1" applyAlignment="1">
      <alignment horizontal="center" wrapText="1"/>
    </xf>
    <xf numFmtId="169" fontId="12" fillId="0" borderId="1" xfId="0" applyNumberFormat="1" applyFont="1" applyBorder="1" applyAlignment="1">
      <alignment horizontal="center" vertical="center"/>
    </xf>
    <xf numFmtId="167" fontId="12" fillId="0" borderId="1" xfId="0" applyNumberFormat="1" applyFon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29" fillId="0" borderId="1" xfId="0" applyFont="1" applyBorder="1" applyAlignment="1">
      <alignment horizontal="center" vertical="center"/>
    </xf>
    <xf numFmtId="3" fontId="12" fillId="0" borderId="1" xfId="0" applyNumberFormat="1" applyFont="1" applyBorder="1" applyAlignment="1">
      <alignment horizontal="center" vertical="center"/>
    </xf>
    <xf numFmtId="3" fontId="12" fillId="0" borderId="6"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0" fontId="18" fillId="7" borderId="42"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6" xfId="0" applyFont="1" applyBorder="1" applyAlignment="1">
      <alignment horizontal="center"/>
    </xf>
    <xf numFmtId="0" fontId="12"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8" fillId="7" borderId="1" xfId="0" applyFont="1" applyFill="1" applyBorder="1" applyAlignment="1">
      <alignment vertical="center" wrapText="1"/>
    </xf>
    <xf numFmtId="0" fontId="17" fillId="9" borderId="1" xfId="0" applyFont="1" applyFill="1" applyBorder="1" applyAlignment="1"/>
    <xf numFmtId="0" fontId="0" fillId="9" borderId="1" xfId="0" applyFill="1" applyBorder="1" applyAlignment="1">
      <alignment horizontal="center" vertical="center"/>
    </xf>
    <xf numFmtId="0" fontId="0" fillId="9" borderId="1" xfId="0" applyFill="1" applyBorder="1" applyAlignment="1"/>
    <xf numFmtId="0" fontId="7" fillId="7" borderId="1" xfId="0" applyFont="1" applyFill="1" applyBorder="1" applyAlignment="1">
      <alignment horizontal="right" vertical="center" wrapText="1"/>
    </xf>
    <xf numFmtId="0" fontId="7" fillId="7" borderId="1" xfId="0" applyFont="1" applyFill="1" applyBorder="1" applyAlignment="1">
      <alignment vertical="center" wrapText="1"/>
    </xf>
    <xf numFmtId="0" fontId="12" fillId="14" borderId="1" xfId="0" applyFont="1" applyFill="1" applyBorder="1" applyAlignment="1">
      <alignment horizontal="center" vertical="center" wrapText="1"/>
    </xf>
    <xf numFmtId="0" fontId="19" fillId="7" borderId="46" xfId="0" applyFont="1" applyFill="1" applyBorder="1" applyAlignment="1">
      <alignment horizontal="left" vertical="center" wrapText="1"/>
    </xf>
    <xf numFmtId="0" fontId="19" fillId="7" borderId="47"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2" borderId="48"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8"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5" fillId="6" borderId="14" xfId="0" applyFont="1" applyFill="1" applyBorder="1" applyAlignment="1">
      <alignment vertical="center"/>
    </xf>
    <xf numFmtId="0" fontId="0" fillId="0" borderId="12" xfId="0" applyBorder="1" applyAlignment="1">
      <alignment horizontal="center"/>
    </xf>
    <xf numFmtId="0" fontId="0" fillId="0" borderId="13" xfId="0" applyBorder="1" applyAlignment="1">
      <alignment horizontal="center"/>
    </xf>
    <xf numFmtId="0" fontId="19" fillId="7" borderId="1" xfId="0" applyFont="1" applyFill="1" applyBorder="1" applyAlignment="1">
      <alignment horizontal="left" vertical="center" wrapText="1" indent="8"/>
    </xf>
    <xf numFmtId="0" fontId="19" fillId="7" borderId="1" xfId="0" applyFont="1" applyFill="1" applyBorder="1" applyAlignment="1">
      <alignment horizontal="center" vertical="center"/>
    </xf>
    <xf numFmtId="0" fontId="20" fillId="0" borderId="1" xfId="0" applyFont="1" applyBorder="1" applyAlignment="1">
      <alignment vertical="top" wrapText="1"/>
    </xf>
    <xf numFmtId="0" fontId="20" fillId="8" borderId="1" xfId="0" applyFont="1" applyFill="1" applyBorder="1" applyAlignment="1">
      <alignment vertical="top" wrapText="1"/>
    </xf>
    <xf numFmtId="0" fontId="19" fillId="7" borderId="20" xfId="0" applyFont="1" applyFill="1" applyBorder="1" applyAlignment="1">
      <alignment horizontal="left" vertical="top" wrapText="1"/>
    </xf>
    <xf numFmtId="0" fontId="20" fillId="8" borderId="20" xfId="0" applyFont="1" applyFill="1" applyBorder="1" applyAlignment="1">
      <alignment vertical="top" wrapText="1"/>
    </xf>
    <xf numFmtId="0" fontId="1" fillId="0" borderId="11" xfId="0" applyFont="1" applyFill="1" applyBorder="1" applyAlignment="1">
      <alignment vertical="center" wrapText="1"/>
    </xf>
    <xf numFmtId="0" fontId="0" fillId="0" borderId="12" xfId="0" applyBorder="1"/>
    <xf numFmtId="0" fontId="0" fillId="0" borderId="13" xfId="0" applyBorder="1"/>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2" fillId="0" borderId="47" xfId="0" applyFont="1" applyBorder="1"/>
    <xf numFmtId="0" fontId="0" fillId="0" borderId="47" xfId="0" applyBorder="1"/>
    <xf numFmtId="0" fontId="19" fillId="7" borderId="46" xfId="0" applyFont="1" applyFill="1" applyBorder="1" applyAlignment="1">
      <alignment horizontal="left" vertical="top" wrapText="1"/>
    </xf>
    <xf numFmtId="0" fontId="0" fillId="0" borderId="47" xfId="0" applyFill="1" applyBorder="1"/>
    <xf numFmtId="0" fontId="1" fillId="0" borderId="49" xfId="0" applyFont="1" applyBorder="1" applyAlignment="1">
      <alignment vertical="center" wrapText="1"/>
    </xf>
    <xf numFmtId="0" fontId="3" fillId="16" borderId="49" xfId="0" applyFont="1" applyFill="1" applyBorder="1" applyAlignment="1">
      <alignment horizontal="center" vertical="center" wrapText="1"/>
    </xf>
    <xf numFmtId="0" fontId="0" fillId="0" borderId="37" xfId="0" applyBorder="1"/>
    <xf numFmtId="0" fontId="19" fillId="7" borderId="47" xfId="0" applyFont="1" applyFill="1" applyBorder="1"/>
    <xf numFmtId="0" fontId="19" fillId="7" borderId="46" xfId="0" applyFont="1" applyFill="1" applyBorder="1" applyAlignment="1">
      <alignment horizontal="right" vertical="center" wrapText="1"/>
    </xf>
    <xf numFmtId="0" fontId="12" fillId="0" borderId="47" xfId="0" applyFont="1" applyBorder="1" applyAlignment="1">
      <alignment vertical="top"/>
    </xf>
    <xf numFmtId="0" fontId="19" fillId="7" borderId="46" xfId="0" applyFont="1" applyFill="1" applyBorder="1" applyAlignment="1">
      <alignment vertical="center" wrapText="1"/>
    </xf>
    <xf numFmtId="0" fontId="12" fillId="8" borderId="47" xfId="0" applyFont="1" applyFill="1" applyBorder="1" applyAlignment="1">
      <alignment vertical="top"/>
    </xf>
    <xf numFmtId="0" fontId="12" fillId="16" borderId="47" xfId="0" applyFont="1" applyFill="1" applyBorder="1" applyAlignment="1">
      <alignment vertical="top"/>
    </xf>
    <xf numFmtId="0" fontId="19" fillId="7" borderId="48" xfId="0" applyFont="1" applyFill="1" applyBorder="1" applyAlignment="1">
      <alignment vertical="center" wrapText="1"/>
    </xf>
    <xf numFmtId="0" fontId="12" fillId="8" borderId="49" xfId="0" applyFont="1" applyFill="1" applyBorder="1" applyAlignment="1">
      <alignment horizontal="center" vertical="center" wrapText="1"/>
    </xf>
    <xf numFmtId="0" fontId="1" fillId="8" borderId="49" xfId="0" applyFont="1" applyFill="1" applyBorder="1" applyAlignment="1">
      <alignment vertical="center" wrapText="1"/>
    </xf>
    <xf numFmtId="0" fontId="12" fillId="8" borderId="37" xfId="0" applyFont="1" applyFill="1" applyBorder="1" applyAlignment="1">
      <alignment vertical="top"/>
    </xf>
    <xf numFmtId="0" fontId="17" fillId="9" borderId="9" xfId="0" applyFont="1" applyFill="1" applyBorder="1"/>
    <xf numFmtId="0" fontId="17" fillId="9" borderId="10" xfId="0" applyFont="1" applyFill="1" applyBorder="1"/>
    <xf numFmtId="0" fontId="1" fillId="16" borderId="1" xfId="0" applyFont="1" applyFill="1" applyBorder="1" applyAlignment="1">
      <alignment vertical="center" wrapText="1"/>
    </xf>
    <xf numFmtId="0" fontId="12" fillId="0" borderId="1" xfId="0" applyFont="1" applyBorder="1" applyAlignment="1">
      <alignment vertical="center" wrapText="1"/>
    </xf>
    <xf numFmtId="0" fontId="0" fillId="0" borderId="11" xfId="0" applyBorder="1"/>
    <xf numFmtId="0" fontId="0" fillId="0" borderId="1" xfId="0" applyBorder="1"/>
    <xf numFmtId="0" fontId="17" fillId="6" borderId="15" xfId="0" applyFont="1" applyFill="1" applyBorder="1" applyAlignment="1">
      <alignment horizontal="center"/>
    </xf>
    <xf numFmtId="0" fontId="23" fillId="9" borderId="5" xfId="0" applyFont="1" applyFill="1" applyBorder="1"/>
    <xf numFmtId="0" fontId="23" fillId="9" borderId="9" xfId="0" applyFont="1" applyFill="1" applyBorder="1"/>
    <xf numFmtId="0" fontId="23" fillId="9" borderId="9" xfId="0" applyFont="1" applyFill="1" applyBorder="1" applyAlignment="1">
      <alignment horizontal="center"/>
    </xf>
    <xf numFmtId="0" fontId="23" fillId="9" borderId="9" xfId="0" applyFont="1" applyFill="1" applyBorder="1" applyAlignment="1">
      <alignment wrapText="1"/>
    </xf>
    <xf numFmtId="0" fontId="23" fillId="9" borderId="10" xfId="0" applyFont="1" applyFill="1" applyBorder="1"/>
    <xf numFmtId="0" fontId="12" fillId="8" borderId="47" xfId="0" applyFont="1" applyFill="1" applyBorder="1" applyAlignment="1">
      <alignment horizontal="center" vertical="center"/>
    </xf>
    <xf numFmtId="0" fontId="12" fillId="0" borderId="47" xfId="0" applyFont="1" applyBorder="1" applyAlignment="1">
      <alignment horizontal="center" vertical="center"/>
    </xf>
    <xf numFmtId="0" fontId="12" fillId="8" borderId="37" xfId="0" applyFont="1" applyFill="1" applyBorder="1" applyAlignment="1">
      <alignment horizontal="center" vertical="center"/>
    </xf>
    <xf numFmtId="0" fontId="0" fillId="0" borderId="12" xfId="0" applyBorder="1" applyAlignment="1"/>
    <xf numFmtId="0" fontId="0" fillId="0" borderId="13" xfId="0" applyBorder="1" applyAlignment="1"/>
    <xf numFmtId="0" fontId="14" fillId="7" borderId="46" xfId="0" applyFont="1" applyFill="1" applyBorder="1" applyAlignment="1">
      <alignment horizontal="center" vertical="center" wrapText="1" readingOrder="1"/>
    </xf>
    <xf numFmtId="0" fontId="12" fillId="0" borderId="47" xfId="0" applyFont="1" applyFill="1" applyBorder="1" applyAlignment="1">
      <alignment vertical="top" wrapText="1"/>
    </xf>
    <xf numFmtId="0" fontId="12" fillId="2" borderId="47" xfId="0" applyFont="1" applyFill="1" applyBorder="1" applyAlignment="1">
      <alignment vertical="top" wrapText="1"/>
    </xf>
    <xf numFmtId="0" fontId="12" fillId="0" borderId="47" xfId="0" applyFont="1" applyFill="1" applyBorder="1" applyAlignment="1">
      <alignment vertical="center" wrapText="1"/>
    </xf>
    <xf numFmtId="0" fontId="12" fillId="8" borderId="47" xfId="0" applyFont="1" applyFill="1" applyBorder="1" applyAlignment="1">
      <alignment vertical="center" wrapText="1"/>
    </xf>
    <xf numFmtId="0" fontId="14" fillId="7" borderId="48" xfId="0" applyFont="1" applyFill="1" applyBorder="1" applyAlignment="1">
      <alignment horizontal="center" vertical="center" wrapText="1" readingOrder="1"/>
    </xf>
    <xf numFmtId="6" fontId="13" fillId="0" borderId="49" xfId="0" applyNumberFormat="1" applyFont="1" applyFill="1" applyBorder="1" applyAlignment="1">
      <alignment horizontal="center" vertical="center" wrapText="1" readingOrder="1"/>
    </xf>
    <xf numFmtId="0" fontId="13" fillId="0" borderId="49" xfId="0" applyFont="1" applyFill="1" applyBorder="1" applyAlignment="1">
      <alignment horizontal="center" vertical="center" wrapText="1" readingOrder="1"/>
    </xf>
    <xf numFmtId="9" fontId="13" fillId="0" borderId="49" xfId="0" applyNumberFormat="1" applyFont="1" applyFill="1" applyBorder="1" applyAlignment="1">
      <alignment horizontal="center" vertical="center" wrapText="1" readingOrder="1"/>
    </xf>
    <xf numFmtId="0" fontId="12" fillId="0" borderId="37" xfId="0" applyFont="1" applyFill="1" applyBorder="1" applyAlignment="1">
      <alignment vertical="center" wrapText="1"/>
    </xf>
    <xf numFmtId="6" fontId="13" fillId="8" borderId="16" xfId="0" applyNumberFormat="1" applyFont="1" applyFill="1" applyBorder="1" applyAlignment="1">
      <alignment horizontal="center" vertical="center" wrapText="1" readingOrder="1"/>
    </xf>
    <xf numFmtId="0" fontId="25" fillId="6" borderId="0" xfId="0" applyFont="1" applyFill="1" applyBorder="1" applyAlignment="1"/>
    <xf numFmtId="0" fontId="25" fillId="6" borderId="15" xfId="0" applyFont="1" applyFill="1" applyBorder="1" applyAlignment="1"/>
    <xf numFmtId="0" fontId="25" fillId="6" borderId="12" xfId="0" applyFont="1" applyFill="1" applyBorder="1" applyAlignment="1"/>
    <xf numFmtId="0" fontId="25" fillId="6" borderId="13" xfId="0" applyFont="1" applyFill="1" applyBorder="1" applyAlignment="1"/>
    <xf numFmtId="0" fontId="12" fillId="6" borderId="5" xfId="0" applyFont="1" applyFill="1" applyBorder="1" applyAlignment="1"/>
    <xf numFmtId="0" fontId="12" fillId="6" borderId="9" xfId="0" applyFont="1" applyFill="1" applyBorder="1" applyAlignment="1"/>
    <xf numFmtId="0" fontId="12" fillId="6" borderId="14" xfId="0" applyFont="1" applyFill="1" applyBorder="1" applyAlignment="1"/>
    <xf numFmtId="0" fontId="12" fillId="6" borderId="0" xfId="0" applyFont="1" applyFill="1" applyBorder="1" applyAlignment="1"/>
    <xf numFmtId="0" fontId="12" fillId="6" borderId="11" xfId="0" applyFont="1" applyFill="1" applyBorder="1" applyAlignment="1"/>
    <xf numFmtId="0" fontId="12" fillId="6" borderId="12" xfId="0" applyFont="1" applyFill="1" applyBorder="1" applyAlignment="1"/>
    <xf numFmtId="0" fontId="0" fillId="6" borderId="14" xfId="0" applyFill="1" applyBorder="1" applyAlignment="1">
      <alignment vertical="center" textRotation="180" wrapText="1"/>
    </xf>
    <xf numFmtId="0" fontId="0" fillId="6" borderId="0" xfId="0" applyFill="1" applyBorder="1" applyAlignment="1">
      <alignment vertical="center" textRotation="180" wrapText="1"/>
    </xf>
    <xf numFmtId="0" fontId="0" fillId="6" borderId="15" xfId="0" applyFill="1" applyBorder="1" applyAlignment="1">
      <alignment vertical="center" textRotation="180" wrapText="1"/>
    </xf>
    <xf numFmtId="0" fontId="0" fillId="6" borderId="11" xfId="0" applyFill="1" applyBorder="1" applyAlignment="1">
      <alignment vertical="center" textRotation="180" wrapText="1"/>
    </xf>
    <xf numFmtId="0" fontId="0" fillId="6" borderId="12" xfId="0" applyFill="1" applyBorder="1" applyAlignment="1">
      <alignment vertical="center" textRotation="180" wrapText="1"/>
    </xf>
    <xf numFmtId="0" fontId="0" fillId="6" borderId="13" xfId="0" applyFill="1" applyBorder="1" applyAlignment="1">
      <alignment vertical="center" textRotation="180" wrapText="1"/>
    </xf>
    <xf numFmtId="169" fontId="12"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31" fillId="16" borderId="1" xfId="0" applyFont="1" applyFill="1" applyBorder="1" applyAlignment="1">
      <alignment horizontal="center" vertical="center" wrapText="1"/>
    </xf>
    <xf numFmtId="0" fontId="33" fillId="4" borderId="1" xfId="0" applyFont="1" applyFill="1" applyBorder="1" applyAlignment="1">
      <alignment vertical="center" wrapText="1"/>
    </xf>
    <xf numFmtId="0" fontId="31" fillId="4" borderId="1" xfId="0" applyFont="1" applyFill="1" applyBorder="1" applyAlignment="1">
      <alignment horizontal="center" vertical="center"/>
    </xf>
    <xf numFmtId="2" fontId="31" fillId="4" borderId="1" xfId="0" applyNumberFormat="1" applyFont="1" applyFill="1" applyBorder="1" applyAlignment="1">
      <alignment horizontal="center" vertical="center"/>
    </xf>
    <xf numFmtId="0" fontId="34" fillId="12" borderId="1" xfId="0" applyFont="1" applyFill="1" applyBorder="1" applyAlignment="1">
      <alignment horizontal="center" vertical="center"/>
    </xf>
    <xf numFmtId="2" fontId="31" fillId="0" borderId="1" xfId="0" applyNumberFormat="1" applyFont="1" applyBorder="1" applyAlignment="1">
      <alignment horizontal="center" vertical="center"/>
    </xf>
    <xf numFmtId="0" fontId="33" fillId="2" borderId="1" xfId="0" applyFont="1" applyFill="1" applyBorder="1" applyAlignment="1">
      <alignment vertical="center" wrapText="1"/>
    </xf>
    <xf numFmtId="10" fontId="31" fillId="8" borderId="1" xfId="0" applyNumberFormat="1" applyFont="1" applyFill="1" applyBorder="1" applyAlignment="1">
      <alignment horizontal="center" vertical="center" wrapText="1"/>
    </xf>
    <xf numFmtId="2" fontId="31" fillId="8" borderId="8" xfId="0" applyNumberFormat="1" applyFont="1" applyFill="1" applyBorder="1" applyAlignment="1">
      <alignment horizontal="center" vertical="center"/>
    </xf>
    <xf numFmtId="2" fontId="31" fillId="8" borderId="1" xfId="0" applyNumberFormat="1" applyFont="1" applyFill="1" applyBorder="1" applyAlignment="1">
      <alignment horizontal="center" vertical="center"/>
    </xf>
    <xf numFmtId="0" fontId="31" fillId="8" borderId="1" xfId="0" applyFont="1" applyFill="1" applyBorder="1" applyAlignment="1">
      <alignment horizontal="center" vertical="center"/>
    </xf>
    <xf numFmtId="0" fontId="32" fillId="2"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33" fillId="8" borderId="1" xfId="0" applyFont="1" applyFill="1" applyBorder="1" applyAlignment="1">
      <alignment vertical="center" wrapText="1"/>
    </xf>
    <xf numFmtId="2" fontId="31" fillId="0" borderId="8" xfId="0" applyNumberFormat="1" applyFont="1" applyBorder="1" applyAlignment="1">
      <alignment horizontal="center" vertical="center"/>
    </xf>
    <xf numFmtId="169" fontId="31" fillId="8" borderId="1" xfId="0" applyNumberFormat="1" applyFont="1" applyFill="1" applyBorder="1" applyAlignment="1">
      <alignment horizontal="center" vertical="center" wrapText="1"/>
    </xf>
    <xf numFmtId="0" fontId="31" fillId="0" borderId="1" xfId="0" applyFont="1" applyBorder="1" applyAlignment="1">
      <alignment horizontal="center" vertical="center"/>
    </xf>
    <xf numFmtId="0" fontId="15" fillId="0" borderId="12" xfId="0" applyFont="1" applyBorder="1" applyAlignment="1">
      <alignment horizontal="center" vertical="center"/>
    </xf>
    <xf numFmtId="2" fontId="31" fillId="8" borderId="4" xfId="0" applyNumberFormat="1" applyFont="1" applyFill="1" applyBorder="1" applyAlignment="1">
      <alignment horizontal="center" vertical="center"/>
    </xf>
    <xf numFmtId="0" fontId="17" fillId="18" borderId="33" xfId="0" applyFont="1" applyFill="1" applyBorder="1" applyAlignment="1"/>
    <xf numFmtId="0" fontId="17" fillId="18" borderId="45" xfId="0" applyFont="1" applyFill="1" applyBorder="1" applyAlignment="1"/>
    <xf numFmtId="0" fontId="17" fillId="18" borderId="34" xfId="0" applyFont="1" applyFill="1" applyBorder="1" applyAlignment="1"/>
    <xf numFmtId="0" fontId="14" fillId="7" borderId="46" xfId="0" applyFont="1" applyFill="1" applyBorder="1" applyAlignment="1">
      <alignment horizontal="center" vertical="center" wrapText="1" readingOrder="1"/>
    </xf>
    <xf numFmtId="0" fontId="14" fillId="7" borderId="16" xfId="0" applyFont="1" applyFill="1" applyBorder="1" applyAlignment="1">
      <alignment horizontal="center" vertical="center" wrapText="1" readingOrder="1"/>
    </xf>
    <xf numFmtId="0" fontId="14" fillId="7" borderId="47" xfId="0" applyFont="1" applyFill="1" applyBorder="1" applyAlignment="1">
      <alignment horizontal="center" vertical="center" wrapText="1" readingOrder="1"/>
    </xf>
    <xf numFmtId="0" fontId="18" fillId="7" borderId="40" xfId="0" applyFont="1" applyFill="1" applyBorder="1" applyAlignment="1">
      <alignment horizontal="left" vertical="center" wrapText="1"/>
    </xf>
    <xf numFmtId="0" fontId="12" fillId="8" borderId="16" xfId="0" applyFont="1" applyFill="1" applyBorder="1" applyAlignment="1">
      <alignment vertical="center" wrapText="1"/>
    </xf>
    <xf numFmtId="0" fontId="12" fillId="8" borderId="16" xfId="0" applyFont="1" applyFill="1" applyBorder="1" applyAlignment="1">
      <alignment vertical="top" wrapText="1"/>
    </xf>
    <xf numFmtId="0" fontId="17" fillId="9" borderId="37" xfId="0" applyFont="1" applyFill="1" applyBorder="1" applyAlignment="1"/>
    <xf numFmtId="0" fontId="17" fillId="9" borderId="38" xfId="0" applyFont="1" applyFill="1" applyBorder="1" applyAlignment="1"/>
    <xf numFmtId="0" fontId="17" fillId="9" borderId="39" xfId="0" applyFont="1" applyFill="1" applyBorder="1" applyAlignment="1"/>
    <xf numFmtId="0" fontId="14" fillId="7" borderId="1" xfId="0" applyFont="1" applyFill="1" applyBorder="1" applyAlignment="1">
      <alignment horizontal="center" vertical="center" wrapText="1"/>
    </xf>
    <xf numFmtId="0" fontId="14" fillId="7" borderId="41" xfId="0" applyFont="1" applyFill="1" applyBorder="1" applyAlignment="1">
      <alignment horizontal="center" vertical="center" wrapText="1"/>
    </xf>
    <xf numFmtId="0" fontId="14" fillId="7" borderId="40" xfId="0" applyFont="1" applyFill="1" applyBorder="1" applyAlignment="1">
      <alignment horizontal="left" vertical="center" wrapText="1"/>
    </xf>
    <xf numFmtId="0" fontId="12" fillId="0" borderId="16" xfId="0" applyFont="1" applyBorder="1" applyAlignment="1">
      <alignment vertical="top" wrapText="1"/>
    </xf>
    <xf numFmtId="0" fontId="12" fillId="0" borderId="16" xfId="0" applyFont="1" applyBorder="1" applyAlignment="1">
      <alignment vertical="center" wrapText="1"/>
    </xf>
    <xf numFmtId="0" fontId="18" fillId="7" borderId="44" xfId="0" applyFont="1" applyFill="1" applyBorder="1" applyAlignment="1">
      <alignment horizontal="left" vertical="center" wrapText="1"/>
    </xf>
    <xf numFmtId="0" fontId="18" fillId="7" borderId="43" xfId="0" applyFont="1" applyFill="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 fillId="0" borderId="16" xfId="0" applyFont="1" applyBorder="1" applyAlignment="1">
      <alignment vertical="center" wrapText="1"/>
    </xf>
    <xf numFmtId="0" fontId="17" fillId="9" borderId="1" xfId="0" applyFont="1" applyFill="1" applyBorder="1" applyAlignment="1"/>
    <xf numFmtId="0" fontId="0" fillId="9" borderId="1" xfId="0" applyFill="1" applyBorder="1" applyAlignment="1"/>
    <xf numFmtId="0" fontId="12" fillId="0" borderId="1" xfId="0" applyFont="1" applyBorder="1" applyAlignment="1">
      <alignment vertical="top" wrapText="1"/>
    </xf>
    <xf numFmtId="0" fontId="19" fillId="7"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7" fillId="9" borderId="6" xfId="0" applyFont="1" applyFill="1" applyBorder="1" applyAlignment="1"/>
    <xf numFmtId="0" fontId="17" fillId="9" borderId="7" xfId="0" applyFont="1" applyFill="1" applyBorder="1" applyAlignment="1"/>
    <xf numFmtId="0" fontId="17" fillId="9" borderId="8" xfId="0" applyFont="1" applyFill="1" applyBorder="1" applyAlignme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3" fillId="9" borderId="6" xfId="0" applyFont="1" applyFill="1" applyBorder="1" applyAlignment="1"/>
    <xf numFmtId="0" fontId="23" fillId="9" borderId="7" xfId="0" applyFont="1" applyFill="1" applyBorder="1" applyAlignment="1"/>
    <xf numFmtId="0" fontId="23" fillId="9" borderId="8" xfId="0" applyFont="1" applyFill="1" applyBorder="1" applyAlignment="1"/>
    <xf numFmtId="0" fontId="17" fillId="9" borderId="33" xfId="0" applyFont="1" applyFill="1" applyBorder="1" applyAlignment="1"/>
    <xf numFmtId="0" fontId="17" fillId="9" borderId="45" xfId="0" applyFont="1" applyFill="1" applyBorder="1" applyAlignment="1"/>
    <xf numFmtId="0" fontId="17" fillId="9" borderId="34" xfId="0" applyFont="1" applyFill="1" applyBorder="1" applyAlignment="1"/>
    <xf numFmtId="0" fontId="19" fillId="7"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6" borderId="0" xfId="0" applyFill="1" applyBorder="1" applyAlignment="1"/>
    <xf numFmtId="0" fontId="0" fillId="6" borderId="0" xfId="0" applyFill="1" applyAlignment="1"/>
    <xf numFmtId="0" fontId="17" fillId="13" borderId="6" xfId="0" applyFont="1" applyFill="1" applyBorder="1" applyAlignment="1"/>
    <xf numFmtId="0" fontId="17" fillId="13" borderId="7" xfId="0" applyFont="1" applyFill="1" applyBorder="1" applyAlignment="1"/>
    <xf numFmtId="0" fontId="17" fillId="13" borderId="8" xfId="0" applyFont="1" applyFill="1" applyBorder="1" applyAlignment="1"/>
    <xf numFmtId="0" fontId="19" fillId="7" borderId="3"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0" fillId="6" borderId="11" xfId="0" applyFill="1" applyBorder="1" applyAlignment="1">
      <alignment wrapText="1"/>
    </xf>
    <xf numFmtId="0" fontId="0" fillId="6" borderId="12" xfId="0" applyFill="1" applyBorder="1" applyAlignment="1">
      <alignment wrapText="1"/>
    </xf>
    <xf numFmtId="0" fontId="0" fillId="6" borderId="13" xfId="0" applyFill="1" applyBorder="1" applyAlignment="1">
      <alignment wrapText="1"/>
    </xf>
    <xf numFmtId="0" fontId="19" fillId="7" borderId="6"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0" fillId="0" borderId="6" xfId="0" applyBorder="1" applyAlignment="1">
      <alignment wrapText="1"/>
    </xf>
    <xf numFmtId="0" fontId="0" fillId="0" borderId="7" xfId="0" applyBorder="1" applyAlignment="1">
      <alignment wrapText="1"/>
    </xf>
    <xf numFmtId="0" fontId="19" fillId="7" borderId="3" xfId="0" applyFont="1" applyFill="1" applyBorder="1" applyAlignment="1">
      <alignment horizontal="left" vertical="top" wrapText="1"/>
    </xf>
    <xf numFmtId="0" fontId="19" fillId="7" borderId="2" xfId="0" applyFont="1" applyFill="1" applyBorder="1" applyAlignment="1">
      <alignment horizontal="left" vertical="top" wrapText="1"/>
    </xf>
    <xf numFmtId="0" fontId="19" fillId="7" borderId="4" xfId="0" applyFont="1" applyFill="1" applyBorder="1" applyAlignment="1">
      <alignment horizontal="left" vertical="top"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7" fillId="9" borderId="6" xfId="0" applyFont="1" applyFill="1" applyBorder="1" applyAlignment="1">
      <alignment horizontal="left"/>
    </xf>
    <xf numFmtId="0" fontId="17" fillId="9" borderId="7" xfId="0" applyFont="1" applyFill="1" applyBorder="1" applyAlignment="1">
      <alignment horizontal="left"/>
    </xf>
    <xf numFmtId="0" fontId="17" fillId="9" borderId="8" xfId="0" applyFont="1" applyFill="1" applyBorder="1" applyAlignment="1">
      <alignment horizontal="left"/>
    </xf>
    <xf numFmtId="0" fontId="17" fillId="9" borderId="5" xfId="0" applyFont="1" applyFill="1" applyBorder="1" applyAlignment="1"/>
    <xf numFmtId="0" fontId="17" fillId="9" borderId="9" xfId="0" applyFont="1" applyFill="1" applyBorder="1" applyAlignment="1"/>
    <xf numFmtId="0" fontId="17" fillId="9" borderId="10" xfId="0" applyFont="1" applyFill="1" applyBorder="1" applyAlignment="1"/>
    <xf numFmtId="0" fontId="14" fillId="17" borderId="46"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0" borderId="46"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7" fillId="9" borderId="33" xfId="0" applyFont="1" applyFill="1" applyBorder="1" applyAlignment="1">
      <alignment horizontal="left"/>
    </xf>
    <xf numFmtId="0" fontId="17" fillId="9" borderId="45" xfId="0" applyFont="1" applyFill="1" applyBorder="1" applyAlignment="1">
      <alignment horizontal="left"/>
    </xf>
    <xf numFmtId="0" fontId="17" fillId="9" borderId="34" xfId="0" applyFont="1" applyFill="1" applyBorder="1" applyAlignment="1">
      <alignment horizontal="left"/>
    </xf>
    <xf numFmtId="0" fontId="19" fillId="7" borderId="50" xfId="0"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4" fillId="17" borderId="22" xfId="0" applyFont="1" applyFill="1" applyBorder="1" applyAlignment="1">
      <alignment vertical="top" wrapText="1"/>
    </xf>
    <xf numFmtId="0" fontId="14" fillId="17" borderId="23" xfId="0" applyFont="1" applyFill="1" applyBorder="1" applyAlignment="1">
      <alignment vertical="top" wrapText="1"/>
    </xf>
    <xf numFmtId="0" fontId="14" fillId="17" borderId="25" xfId="0" applyFont="1" applyFill="1" applyBorder="1" applyAlignment="1">
      <alignment vertical="top" wrapText="1"/>
    </xf>
    <xf numFmtId="0" fontId="19" fillId="7" borderId="22" xfId="0" applyFont="1" applyFill="1" applyBorder="1" applyAlignment="1">
      <alignment horizontal="left" vertical="top" wrapText="1"/>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22"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25" xfId="0" applyFont="1" applyFill="1" applyBorder="1" applyAlignment="1">
      <alignment horizontal="left" vertical="top" wrapText="1"/>
    </xf>
    <xf numFmtId="0" fontId="4" fillId="0" borderId="53" xfId="0" applyFont="1" applyBorder="1" applyAlignment="1">
      <alignment horizontal="left" vertical="center"/>
    </xf>
    <xf numFmtId="0" fontId="4" fillId="0" borderId="27" xfId="0" applyFont="1" applyBorder="1" applyAlignment="1">
      <alignment horizontal="left" vertical="center"/>
    </xf>
    <xf numFmtId="0" fontId="4" fillId="0" borderId="54" xfId="0" applyFont="1" applyBorder="1" applyAlignment="1">
      <alignment horizontal="left" vertical="center"/>
    </xf>
    <xf numFmtId="0" fontId="15" fillId="8" borderId="6" xfId="0" applyFont="1" applyFill="1" applyBorder="1" applyAlignment="1">
      <alignment horizontal="left" vertical="top" wrapText="1"/>
    </xf>
    <xf numFmtId="0" fontId="15" fillId="8" borderId="8"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4" xfId="0" applyFont="1" applyFill="1" applyBorder="1" applyAlignment="1">
      <alignment horizontal="left" vertical="top" wrapText="1"/>
    </xf>
    <xf numFmtId="0" fontId="19" fillId="7" borderId="1" xfId="0" applyFont="1" applyFill="1" applyBorder="1" applyAlignment="1">
      <alignment horizontal="left" vertical="top" wrapText="1"/>
    </xf>
    <xf numFmtId="0" fontId="19" fillId="7" borderId="20" xfId="0" applyFont="1" applyFill="1" applyBorder="1" applyAlignment="1">
      <alignment horizontal="left" vertical="top" wrapText="1"/>
    </xf>
    <xf numFmtId="0" fontId="19" fillId="7" borderId="1" xfId="0" applyFont="1" applyFill="1" applyBorder="1" applyAlignment="1">
      <alignment vertical="center" wrapText="1"/>
    </xf>
    <xf numFmtId="0" fontId="19" fillId="7" borderId="3" xfId="0" applyFont="1" applyFill="1" applyBorder="1" applyAlignment="1">
      <alignment vertical="center" wrapText="1"/>
    </xf>
    <xf numFmtId="0" fontId="19" fillId="7" borderId="2" xfId="0" applyFont="1" applyFill="1" applyBorder="1" applyAlignment="1">
      <alignment vertical="center" wrapText="1"/>
    </xf>
    <xf numFmtId="0" fontId="19" fillId="7" borderId="4" xfId="0" applyFont="1" applyFill="1" applyBorder="1" applyAlignment="1">
      <alignment vertical="center" wrapText="1"/>
    </xf>
    <xf numFmtId="0" fontId="19" fillId="7" borderId="5"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0" fillId="0" borderId="0" xfId="0" applyBorder="1" applyAlignment="1">
      <alignment wrapText="1"/>
    </xf>
    <xf numFmtId="0" fontId="1" fillId="0" borderId="12" xfId="0" applyFont="1" applyBorder="1" applyAlignment="1"/>
    <xf numFmtId="0" fontId="1" fillId="0" borderId="13" xfId="0" applyFont="1" applyBorder="1" applyAlignment="1"/>
    <xf numFmtId="0" fontId="7" fillId="7" borderId="1" xfId="0" applyFont="1" applyFill="1" applyBorder="1" applyAlignment="1">
      <alignment horizontal="center" vertical="center" textRotation="180"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167" fontId="12" fillId="8" borderId="6" xfId="0" applyNumberFormat="1" applyFont="1" applyFill="1" applyBorder="1" applyAlignment="1">
      <alignment horizontal="center" vertical="center"/>
    </xf>
    <xf numFmtId="167" fontId="12" fillId="8" borderId="8" xfId="0" applyNumberFormat="1" applyFont="1" applyFill="1" applyBorder="1" applyAlignment="1">
      <alignment horizontal="center" vertical="center"/>
    </xf>
    <xf numFmtId="0" fontId="12" fillId="8" borderId="6"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xf>
    <xf numFmtId="0" fontId="12" fillId="8" borderId="1" xfId="0" applyFont="1" applyFill="1" applyBorder="1" applyAlignment="1">
      <alignment horizontal="center" vertical="center"/>
    </xf>
    <xf numFmtId="167" fontId="12" fillId="0" borderId="6" xfId="0" applyNumberFormat="1" applyFont="1" applyBorder="1" applyAlignment="1">
      <alignment horizontal="center" vertical="center"/>
    </xf>
    <xf numFmtId="167" fontId="12" fillId="0" borderId="8"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27" fillId="7" borderId="1" xfId="0" applyFont="1" applyFill="1" applyBorder="1" applyAlignment="1">
      <alignment horizontal="center" vertical="center" textRotation="180"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7" fillId="9" borderId="6" xfId="0" applyFont="1" applyFill="1" applyBorder="1" applyAlignment="1">
      <alignment horizontal="center" vertical="top" wrapText="1"/>
    </xf>
    <xf numFmtId="0" fontId="17" fillId="9" borderId="7" xfId="0" applyFont="1" applyFill="1" applyBorder="1" applyAlignment="1">
      <alignment horizontal="center" vertical="top" wrapText="1"/>
    </xf>
    <xf numFmtId="0" fontId="17" fillId="9" borderId="8" xfId="0" applyFont="1" applyFill="1" applyBorder="1" applyAlignment="1">
      <alignment horizontal="center" vertical="top" wrapText="1"/>
    </xf>
    <xf numFmtId="167" fontId="12" fillId="8" borderId="6" xfId="3" applyNumberFormat="1" applyFont="1" applyFill="1" applyBorder="1" applyAlignment="1">
      <alignment horizontal="center" vertical="center"/>
    </xf>
    <xf numFmtId="167" fontId="12" fillId="8" borderId="8" xfId="3" applyNumberFormat="1" applyFont="1" applyFill="1" applyBorder="1" applyAlignment="1">
      <alignment horizontal="center" vertical="center"/>
    </xf>
    <xf numFmtId="0" fontId="0" fillId="8" borderId="5"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3" xfId="0" applyFill="1" applyBorder="1" applyAlignment="1">
      <alignment horizontal="center" vertical="center" wrapText="1"/>
    </xf>
    <xf numFmtId="0" fontId="7" fillId="7" borderId="4" xfId="0" applyFont="1" applyFill="1" applyBorder="1" applyAlignment="1">
      <alignment horizontal="center" vertical="center" textRotation="180" wrapText="1"/>
    </xf>
    <xf numFmtId="0" fontId="0" fillId="0" borderId="1" xfId="0" applyBorder="1" applyAlignment="1">
      <alignment horizontal="center"/>
    </xf>
    <xf numFmtId="0" fontId="0" fillId="0" borderId="1" xfId="0" applyBorder="1" applyAlignment="1">
      <alignment horizontal="center" wrapText="1"/>
    </xf>
    <xf numFmtId="0" fontId="7" fillId="7" borderId="1" xfId="0" applyFont="1" applyFill="1" applyBorder="1" applyAlignment="1">
      <alignment horizontal="center" vertical="center"/>
    </xf>
    <xf numFmtId="167" fontId="12" fillId="0" borderId="1" xfId="0" applyNumberFormat="1" applyFont="1" applyBorder="1" applyAlignment="1">
      <alignment horizontal="center" vertical="center"/>
    </xf>
    <xf numFmtId="169" fontId="12" fillId="0" borderId="1" xfId="0" applyNumberFormat="1"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3" xfId="0" applyFont="1" applyBorder="1" applyAlignment="1">
      <alignment horizontal="center" wrapText="1"/>
    </xf>
    <xf numFmtId="0" fontId="7" fillId="7" borderId="11" xfId="0" applyFont="1" applyFill="1" applyBorder="1" applyAlignment="1">
      <alignment horizontal="center" vertical="center" textRotation="180" wrapText="1"/>
    </xf>
    <xf numFmtId="0" fontId="12" fillId="0" borderId="6" xfId="0" applyFont="1" applyBorder="1" applyAlignment="1">
      <alignment horizontal="center"/>
    </xf>
    <xf numFmtId="0" fontId="7" fillId="7" borderId="6" xfId="0" applyFont="1" applyFill="1" applyBorder="1" applyAlignment="1">
      <alignment horizontal="center" vertical="center" textRotation="180" wrapText="1"/>
    </xf>
    <xf numFmtId="0" fontId="12" fillId="6" borderId="5"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2" fillId="8" borderId="3"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4" xfId="0" applyFont="1" applyFill="1" applyBorder="1" applyAlignment="1">
      <alignment horizontal="left" vertical="center"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8" fillId="7" borderId="1" xfId="0" applyFont="1" applyFill="1" applyBorder="1" applyAlignment="1">
      <alignment horizontal="center" vertical="center" wrapText="1"/>
    </xf>
    <xf numFmtId="0" fontId="12" fillId="8" borderId="5"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13" xfId="0" applyFont="1" applyFill="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6" fontId="12" fillId="0" borderId="6" xfId="0" applyNumberFormat="1" applyFont="1" applyBorder="1" applyAlignment="1">
      <alignment horizontal="center" vertical="center"/>
    </xf>
    <xf numFmtId="0" fontId="12" fillId="8" borderId="3" xfId="0" applyFont="1" applyFill="1" applyBorder="1" applyAlignment="1">
      <alignment horizontal="left" vertical="top" wrapText="1"/>
    </xf>
    <xf numFmtId="0" fontId="12" fillId="8" borderId="2" xfId="0" applyFont="1" applyFill="1" applyBorder="1" applyAlignment="1">
      <alignment horizontal="left" vertical="top" wrapText="1"/>
    </xf>
    <xf numFmtId="0" fontId="12" fillId="8" borderId="4" xfId="0" applyFont="1" applyFill="1" applyBorder="1" applyAlignment="1">
      <alignment horizontal="left" vertical="top" wrapText="1"/>
    </xf>
    <xf numFmtId="6" fontId="12" fillId="8" borderId="33" xfId="0" applyNumberFormat="1" applyFont="1" applyFill="1" applyBorder="1" applyAlignment="1">
      <alignment horizontal="center" vertical="center"/>
    </xf>
    <xf numFmtId="6" fontId="12" fillId="8" borderId="34" xfId="0" applyNumberFormat="1" applyFont="1" applyFill="1" applyBorder="1" applyAlignment="1">
      <alignment horizontal="center" vertical="center"/>
    </xf>
    <xf numFmtId="167" fontId="12" fillId="0" borderId="33" xfId="0" applyNumberFormat="1" applyFont="1" applyBorder="1" applyAlignment="1">
      <alignment horizontal="center" vertical="center"/>
    </xf>
    <xf numFmtId="167" fontId="12" fillId="0" borderId="34" xfId="0" applyNumberFormat="1" applyFont="1" applyBorder="1" applyAlignment="1">
      <alignment horizontal="center" vertical="center"/>
    </xf>
    <xf numFmtId="0" fontId="12" fillId="8" borderId="33" xfId="0" applyFont="1" applyFill="1" applyBorder="1" applyAlignment="1">
      <alignment horizontal="center" vertical="center"/>
    </xf>
    <xf numFmtId="0" fontId="12" fillId="8" borderId="34" xfId="0" applyFont="1" applyFill="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3" fontId="12" fillId="0" borderId="1" xfId="0" applyNumberFormat="1" applyFont="1" applyBorder="1" applyAlignment="1">
      <alignment horizontal="center" vertical="center"/>
    </xf>
    <xf numFmtId="3" fontId="12" fillId="0" borderId="6" xfId="0" applyNumberFormat="1" applyFont="1" applyBorder="1" applyAlignment="1">
      <alignment horizontal="center" vertical="center"/>
    </xf>
    <xf numFmtId="0" fontId="28" fillId="7" borderId="4" xfId="0" applyFont="1" applyFill="1" applyBorder="1" applyAlignment="1">
      <alignment horizontal="center" vertical="center" textRotation="180" wrapText="1"/>
    </xf>
    <xf numFmtId="0" fontId="28" fillId="7" borderId="1" xfId="0" applyFont="1" applyFill="1" applyBorder="1" applyAlignment="1">
      <alignment horizontal="center" vertical="center" wrapText="1"/>
    </xf>
    <xf numFmtId="0" fontId="29" fillId="0" borderId="1" xfId="0" applyFont="1" applyBorder="1" applyAlignment="1">
      <alignment horizontal="center" vertical="center"/>
    </xf>
    <xf numFmtId="0" fontId="28" fillId="7" borderId="1" xfId="0" applyFont="1" applyFill="1" applyBorder="1" applyAlignment="1">
      <alignment horizontal="center" vertical="center" textRotation="180" wrapText="1"/>
    </xf>
    <xf numFmtId="0" fontId="23" fillId="9" borderId="26" xfId="0" applyFont="1" applyFill="1" applyBorder="1" applyAlignment="1">
      <alignment horizontal="center" vertical="top" wrapText="1"/>
    </xf>
    <xf numFmtId="0" fontId="23" fillId="9" borderId="27" xfId="0" applyFont="1" applyFill="1" applyBorder="1" applyAlignment="1">
      <alignment horizontal="center" vertical="top" wrapText="1"/>
    </xf>
    <xf numFmtId="0" fontId="23" fillId="9" borderId="28" xfId="0" applyFont="1" applyFill="1" applyBorder="1" applyAlignment="1">
      <alignment horizontal="center" vertical="top" wrapText="1"/>
    </xf>
    <xf numFmtId="0" fontId="7" fillId="7" borderId="17" xfId="0" applyFont="1" applyFill="1" applyBorder="1" applyAlignment="1">
      <alignment horizontal="center" vertical="center" textRotation="180" wrapText="1"/>
    </xf>
    <xf numFmtId="0" fontId="7" fillId="7" borderId="17" xfId="0" applyFont="1" applyFill="1" applyBorder="1" applyAlignment="1">
      <alignment horizontal="center" vertical="center" wrapText="1"/>
    </xf>
    <xf numFmtId="3" fontId="0" fillId="0" borderId="6" xfId="0" applyNumberFormat="1" applyBorder="1" applyAlignment="1">
      <alignment horizontal="center" vertical="center"/>
    </xf>
    <xf numFmtId="3" fontId="0" fillId="0" borderId="32" xfId="0" applyNumberFormat="1" applyBorder="1" applyAlignment="1">
      <alignment horizontal="center" vertical="center"/>
    </xf>
    <xf numFmtId="0" fontId="7" fillId="7" borderId="18" xfId="0" applyFont="1" applyFill="1" applyBorder="1" applyAlignment="1">
      <alignment horizontal="center" vertical="center" textRotation="180" wrapText="1"/>
    </xf>
    <xf numFmtId="0" fontId="0" fillId="0" borderId="1" xfId="0" applyBorder="1" applyAlignment="1">
      <alignment horizontal="center" vertical="center"/>
    </xf>
    <xf numFmtId="0" fontId="0" fillId="0" borderId="18" xfId="0" applyBorder="1" applyAlignment="1">
      <alignment horizontal="center" vertical="center"/>
    </xf>
    <xf numFmtId="0" fontId="7" fillId="7" borderId="19"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8"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6" fontId="12" fillId="0" borderId="6" xfId="0" applyNumberFormat="1" applyFont="1" applyBorder="1" applyAlignment="1">
      <alignment horizontal="center" vertical="center" wrapText="1"/>
    </xf>
    <xf numFmtId="6" fontId="12" fillId="0" borderId="8" xfId="0" applyNumberFormat="1" applyFont="1" applyBorder="1" applyAlignment="1">
      <alignment horizontal="center" vertical="center" wrapText="1"/>
    </xf>
    <xf numFmtId="3" fontId="12" fillId="8" borderId="6" xfId="0" applyNumberFormat="1" applyFont="1" applyFill="1" applyBorder="1" applyAlignment="1">
      <alignment horizontal="center" vertical="center"/>
    </xf>
    <xf numFmtId="0" fontId="7" fillId="19" borderId="1" xfId="0" applyFont="1" applyFill="1" applyBorder="1" applyAlignment="1">
      <alignment horizontal="center" vertical="center" textRotation="180" wrapText="1"/>
    </xf>
    <xf numFmtId="0" fontId="18" fillId="19"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2" fontId="12" fillId="8" borderId="3" xfId="0" applyNumberFormat="1" applyFont="1" applyFill="1" applyBorder="1" applyAlignment="1">
      <alignment horizontal="center" vertical="center" wrapText="1"/>
    </xf>
    <xf numFmtId="2" fontId="12" fillId="8" borderId="2" xfId="0" applyNumberFormat="1" applyFont="1" applyFill="1" applyBorder="1" applyAlignment="1">
      <alignment horizontal="center" vertical="center" wrapText="1"/>
    </xf>
    <xf numFmtId="2" fontId="12" fillId="8" borderId="4" xfId="0" applyNumberFormat="1" applyFont="1" applyFill="1" applyBorder="1" applyAlignment="1">
      <alignment horizontal="center" vertical="center" wrapText="1"/>
    </xf>
    <xf numFmtId="0" fontId="23" fillId="9" borderId="6" xfId="0" applyFont="1" applyFill="1" applyBorder="1" applyAlignment="1">
      <alignment horizontal="left" vertical="top" wrapText="1"/>
    </xf>
    <xf numFmtId="0" fontId="23" fillId="9" borderId="7" xfId="0" applyFont="1" applyFill="1" applyBorder="1" applyAlignment="1">
      <alignment horizontal="left" vertical="top" wrapText="1"/>
    </xf>
    <xf numFmtId="0" fontId="23" fillId="9" borderId="8" xfId="0" applyFont="1" applyFill="1" applyBorder="1" applyAlignment="1">
      <alignment horizontal="left" vertical="top" wrapText="1"/>
    </xf>
    <xf numFmtId="2" fontId="12" fillId="0" borderId="1" xfId="0" applyNumberFormat="1" applyFont="1" applyBorder="1" applyAlignment="1">
      <alignment horizontal="center" vertical="center"/>
    </xf>
  </cellXfs>
  <cellStyles count="5">
    <cellStyle name="Currency" xfId="3" builtinId="4"/>
    <cellStyle name="Normal" xfId="0" builtinId="0"/>
    <cellStyle name="Num Generic" xfId="2" xr:uid="{ED4C6148-F073-4CE2-AFCE-A2F106879D96}"/>
    <cellStyle name="Num SAIFI" xfId="1" xr:uid="{FA6F18FA-C36B-4710-9D17-F629AD5920F3}"/>
    <cellStyle name="Percent" xfId="4" builtinId="5"/>
  </cellStyles>
  <dxfs count="0"/>
  <tableStyles count="0" defaultTableStyle="TableStyleMedium2" defaultPivotStyle="PivotStyleLight16"/>
  <colors>
    <mruColors>
      <color rgb="FF000099"/>
      <color rgb="FF0000CC"/>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D8A7-65F1-4005-9A1C-F315BC834BAB}">
  <dimension ref="A1:G8"/>
  <sheetViews>
    <sheetView view="pageLayout" topLeftCell="A2" zoomScale="40" zoomScaleNormal="70" zoomScaleSheetLayoutView="55" zoomScalePageLayoutView="40" workbookViewId="0">
      <selection activeCell="F5" sqref="F5"/>
    </sheetView>
  </sheetViews>
  <sheetFormatPr defaultRowHeight="14.4" x14ac:dyDescent="0.3"/>
  <cols>
    <col min="1" max="1" width="25.6640625" customWidth="1"/>
    <col min="2" max="6" width="39.21875" bestFit="1" customWidth="1"/>
    <col min="7" max="7" width="51.109375" customWidth="1"/>
  </cols>
  <sheetData>
    <row r="1" spans="1:7" ht="18" x14ac:dyDescent="0.35">
      <c r="A1" s="380" t="s">
        <v>0</v>
      </c>
      <c r="B1" s="381"/>
      <c r="C1" s="381"/>
      <c r="D1" s="381"/>
      <c r="E1" s="381"/>
      <c r="F1" s="381"/>
      <c r="G1" s="382"/>
    </row>
    <row r="2" spans="1:7" ht="15.75" customHeight="1" x14ac:dyDescent="0.3">
      <c r="A2" s="383" t="s">
        <v>1</v>
      </c>
      <c r="B2" s="384" t="s">
        <v>2</v>
      </c>
      <c r="C2" s="384"/>
      <c r="D2" s="384"/>
      <c r="E2" s="384"/>
      <c r="F2" s="384"/>
      <c r="G2" s="385" t="s">
        <v>3</v>
      </c>
    </row>
    <row r="3" spans="1:7" x14ac:dyDescent="0.3">
      <c r="A3" s="383"/>
      <c r="B3" s="33">
        <v>2015</v>
      </c>
      <c r="C3" s="33">
        <v>2016</v>
      </c>
      <c r="D3" s="33">
        <v>2017</v>
      </c>
      <c r="E3" s="33">
        <v>2018</v>
      </c>
      <c r="F3" s="33">
        <v>2019</v>
      </c>
      <c r="G3" s="385"/>
    </row>
    <row r="4" spans="1:7" ht="265.8" customHeight="1" x14ac:dyDescent="0.3">
      <c r="A4" s="332" t="s">
        <v>4</v>
      </c>
      <c r="B4" s="100" t="s">
        <v>5</v>
      </c>
      <c r="C4" s="100" t="s">
        <v>6</v>
      </c>
      <c r="D4" s="100" t="s">
        <v>7</v>
      </c>
      <c r="E4" s="100" t="s">
        <v>8</v>
      </c>
      <c r="F4" s="100" t="s">
        <v>9</v>
      </c>
      <c r="G4" s="333" t="s">
        <v>10</v>
      </c>
    </row>
    <row r="5" spans="1:7" ht="198" customHeight="1" x14ac:dyDescent="0.3">
      <c r="A5" s="332" t="s">
        <v>11</v>
      </c>
      <c r="B5" s="101" t="s">
        <v>816</v>
      </c>
      <c r="C5" s="101" t="s">
        <v>815</v>
      </c>
      <c r="D5" s="101" t="s">
        <v>817</v>
      </c>
      <c r="E5" s="101" t="s">
        <v>818</v>
      </c>
      <c r="F5" s="101" t="s">
        <v>819</v>
      </c>
      <c r="G5" s="334" t="s">
        <v>10</v>
      </c>
    </row>
    <row r="6" spans="1:7" ht="148.19999999999999" customHeight="1" x14ac:dyDescent="0.3">
      <c r="A6" s="332" t="s">
        <v>12</v>
      </c>
      <c r="B6" s="150" t="s">
        <v>13</v>
      </c>
      <c r="C6" s="150" t="s">
        <v>14</v>
      </c>
      <c r="D6" s="151" t="s">
        <v>15</v>
      </c>
      <c r="E6" s="151" t="s">
        <v>16</v>
      </c>
      <c r="F6" s="152" t="s">
        <v>13</v>
      </c>
      <c r="G6" s="335" t="s">
        <v>17</v>
      </c>
    </row>
    <row r="7" spans="1:7" ht="107.4" customHeight="1" x14ac:dyDescent="0.3">
      <c r="A7" s="332" t="s">
        <v>18</v>
      </c>
      <c r="B7" s="342" t="s">
        <v>19</v>
      </c>
      <c r="C7" s="342" t="s">
        <v>20</v>
      </c>
      <c r="D7" s="342" t="s">
        <v>21</v>
      </c>
      <c r="E7" s="342" t="s">
        <v>22</v>
      </c>
      <c r="F7" s="342" t="s">
        <v>23</v>
      </c>
      <c r="G7" s="336" t="s">
        <v>24</v>
      </c>
    </row>
    <row r="8" spans="1:7" ht="54.6" customHeight="1" x14ac:dyDescent="0.3">
      <c r="A8" s="337" t="s">
        <v>25</v>
      </c>
      <c r="B8" s="338" t="s">
        <v>26</v>
      </c>
      <c r="C8" s="338" t="s">
        <v>26</v>
      </c>
      <c r="D8" s="339" t="s">
        <v>26</v>
      </c>
      <c r="E8" s="339" t="s">
        <v>26</v>
      </c>
      <c r="F8" s="340">
        <v>0.95</v>
      </c>
      <c r="G8" s="341" t="s">
        <v>27</v>
      </c>
    </row>
  </sheetData>
  <mergeCells count="4">
    <mergeCell ref="A1:G1"/>
    <mergeCell ref="A2:A3"/>
    <mergeCell ref="B2:F2"/>
    <mergeCell ref="G2:G3"/>
  </mergeCells>
  <printOptions horizontalCentered="1"/>
  <pageMargins left="0.5" right="0.5" top="1" bottom="0.75" header="0" footer="0.5"/>
  <pageSetup paperSize="5" scale="61" orientation="landscape" horizontalDpi="1200" verticalDpi="1200" r:id="rId1"/>
  <headerFooter>
    <oddFooter>&amp;L&amp;ESDGE 2020 WMP - &amp;A&amp;C&amp;P&amp;R02/07/2020</oddFooter>
  </headerFooter>
  <rowBreaks count="1" manualBreakCount="1">
    <brk id="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B6D3-7F24-402E-9BF5-0F43F220A8C3}">
  <dimension ref="A1:I8"/>
  <sheetViews>
    <sheetView view="pageLayout" zoomScaleNormal="100" zoomScaleSheetLayoutView="100" workbookViewId="0">
      <selection activeCell="A8" sqref="A8:H8"/>
    </sheetView>
  </sheetViews>
  <sheetFormatPr defaultRowHeight="14.4" x14ac:dyDescent="0.3"/>
  <cols>
    <col min="1" max="1" width="33.6640625" customWidth="1"/>
    <col min="2" max="7" width="12.44140625" customWidth="1"/>
    <col min="8" max="8" width="58" customWidth="1"/>
  </cols>
  <sheetData>
    <row r="1" spans="1:9" ht="18" x14ac:dyDescent="0.35">
      <c r="A1" s="407" t="s">
        <v>408</v>
      </c>
      <c r="B1" s="408"/>
      <c r="C1" s="408"/>
      <c r="D1" s="408"/>
      <c r="E1" s="408"/>
      <c r="F1" s="408"/>
      <c r="G1" s="408"/>
      <c r="H1" s="409"/>
    </row>
    <row r="2" spans="1:9" ht="43.2" x14ac:dyDescent="0.3">
      <c r="A2" s="227" t="s">
        <v>409</v>
      </c>
      <c r="B2" s="225">
        <v>2015</v>
      </c>
      <c r="C2" s="225">
        <v>2016</v>
      </c>
      <c r="D2" s="225">
        <v>2017</v>
      </c>
      <c r="E2" s="225">
        <v>2018</v>
      </c>
      <c r="F2" s="225">
        <v>2019</v>
      </c>
      <c r="G2" s="225" t="s">
        <v>410</v>
      </c>
      <c r="H2" s="225" t="s">
        <v>3</v>
      </c>
    </row>
    <row r="3" spans="1:9" ht="20.399999999999999" customHeight="1" x14ac:dyDescent="0.3">
      <c r="A3" s="265" t="s">
        <v>411</v>
      </c>
      <c r="B3" s="249">
        <v>6816.99</v>
      </c>
      <c r="C3" s="249">
        <v>25733.11</v>
      </c>
      <c r="D3" s="249">
        <v>57729.96</v>
      </c>
      <c r="E3" s="249">
        <v>45604.06</v>
      </c>
      <c r="F3" s="249">
        <v>26532.720000000001</v>
      </c>
      <c r="G3" s="249">
        <v>32483.37</v>
      </c>
      <c r="H3" s="6" t="s">
        <v>412</v>
      </c>
    </row>
    <row r="4" spans="1:9" ht="45.6" customHeight="1" x14ac:dyDescent="0.3">
      <c r="A4" s="265" t="s">
        <v>413</v>
      </c>
      <c r="B4" s="250">
        <v>0</v>
      </c>
      <c r="C4" s="250">
        <v>18271</v>
      </c>
      <c r="D4" s="250">
        <v>56522</v>
      </c>
      <c r="E4" s="250">
        <v>38960</v>
      </c>
      <c r="F4" s="250">
        <v>27531</v>
      </c>
      <c r="G4" s="250">
        <v>28256.799999999999</v>
      </c>
      <c r="H4" s="19" t="s">
        <v>414</v>
      </c>
      <c r="I4" s="99"/>
    </row>
    <row r="5" spans="1:9" ht="27.6" customHeight="1" x14ac:dyDescent="0.3">
      <c r="A5" s="265" t="s">
        <v>415</v>
      </c>
      <c r="B5" s="249">
        <v>27449.61</v>
      </c>
      <c r="C5" s="249">
        <v>30047.93</v>
      </c>
      <c r="D5" s="249">
        <v>32220.560000000001</v>
      </c>
      <c r="E5" s="249">
        <v>30511.59</v>
      </c>
      <c r="F5" s="249">
        <v>31338.92</v>
      </c>
      <c r="G5" s="249">
        <v>30313.72</v>
      </c>
      <c r="H5" s="6" t="s">
        <v>416</v>
      </c>
    </row>
    <row r="6" spans="1:9" ht="28.95" customHeight="1" x14ac:dyDescent="0.3">
      <c r="A6" s="265" t="s">
        <v>417</v>
      </c>
      <c r="B6" s="250">
        <v>7788.81</v>
      </c>
      <c r="C6" s="250">
        <v>4454.58</v>
      </c>
      <c r="D6" s="250">
        <v>10260.31</v>
      </c>
      <c r="E6" s="250">
        <v>9995.2199999999993</v>
      </c>
      <c r="F6" s="250">
        <v>9283.7900000000009</v>
      </c>
      <c r="G6" s="250">
        <v>8356.5400000000009</v>
      </c>
      <c r="H6" s="19" t="s">
        <v>418</v>
      </c>
    </row>
    <row r="7" spans="1:9" x14ac:dyDescent="0.3">
      <c r="A7" s="284" t="s">
        <v>419</v>
      </c>
      <c r="B7" s="166"/>
      <c r="C7" s="166"/>
      <c r="D7" s="166"/>
      <c r="E7" s="166"/>
      <c r="F7" s="166"/>
      <c r="G7" s="166"/>
      <c r="H7" s="71"/>
    </row>
    <row r="8" spans="1:9" ht="74.400000000000006" customHeight="1" x14ac:dyDescent="0.3">
      <c r="A8" s="430" t="s">
        <v>420</v>
      </c>
      <c r="B8" s="431"/>
      <c r="C8" s="431"/>
      <c r="D8" s="431"/>
      <c r="E8" s="431"/>
      <c r="F8" s="431"/>
      <c r="G8" s="431"/>
      <c r="H8" s="432"/>
    </row>
  </sheetData>
  <mergeCells count="2">
    <mergeCell ref="A1:H1"/>
    <mergeCell ref="A8:H8"/>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C13E-A494-438F-9F19-7F6DE52723F1}">
  <dimension ref="A1:V46"/>
  <sheetViews>
    <sheetView view="pageLayout" topLeftCell="C23" zoomScale="85" zoomScaleNormal="85" zoomScaleSheetLayoutView="40" zoomScalePageLayoutView="85" workbookViewId="0">
      <selection activeCell="X37" sqref="X37"/>
    </sheetView>
  </sheetViews>
  <sheetFormatPr defaultRowHeight="14.4" x14ac:dyDescent="0.3"/>
  <cols>
    <col min="1" max="1" width="14.33203125" customWidth="1"/>
    <col min="2" max="2" width="35.44140625" customWidth="1"/>
    <col min="3" max="3" width="8.6640625" style="115" customWidth="1"/>
    <col min="4" max="9" width="5.33203125" style="115" customWidth="1"/>
    <col min="10" max="13" width="7.88671875" style="115" bestFit="1" customWidth="1"/>
    <col min="14" max="14" width="6.88671875" style="115" bestFit="1" customWidth="1"/>
    <col min="15" max="15" width="7.5546875" style="115" bestFit="1" customWidth="1"/>
    <col min="16" max="20" width="5.33203125" style="115" customWidth="1"/>
    <col min="21" max="21" width="6.33203125" style="115" customWidth="1"/>
    <col min="22" max="22" width="39.5546875" customWidth="1"/>
  </cols>
  <sheetData>
    <row r="1" spans="1:22" ht="18" x14ac:dyDescent="0.35">
      <c r="A1" s="443" t="s">
        <v>421</v>
      </c>
      <c r="B1" s="444"/>
      <c r="C1" s="444"/>
      <c r="D1" s="444"/>
      <c r="E1" s="444"/>
      <c r="F1" s="444"/>
      <c r="G1" s="444"/>
      <c r="H1" s="444"/>
      <c r="I1" s="444"/>
      <c r="J1" s="444"/>
      <c r="K1" s="444"/>
      <c r="L1" s="444"/>
      <c r="M1" s="444"/>
      <c r="N1" s="444"/>
      <c r="O1" s="444"/>
      <c r="P1" s="444"/>
      <c r="Q1" s="444"/>
      <c r="R1" s="444"/>
      <c r="S1" s="444"/>
      <c r="T1" s="444"/>
      <c r="U1" s="445"/>
    </row>
    <row r="2" spans="1:22" ht="84" customHeight="1" x14ac:dyDescent="0.3">
      <c r="A2" s="427" t="s">
        <v>422</v>
      </c>
      <c r="B2" s="229"/>
      <c r="C2" s="167" t="s">
        <v>423</v>
      </c>
      <c r="D2" s="440" t="s">
        <v>424</v>
      </c>
      <c r="E2" s="441"/>
      <c r="F2" s="441"/>
      <c r="G2" s="441"/>
      <c r="H2" s="441"/>
      <c r="I2" s="442"/>
      <c r="J2" s="440" t="s">
        <v>425</v>
      </c>
      <c r="K2" s="441"/>
      <c r="L2" s="441"/>
      <c r="M2" s="441"/>
      <c r="N2" s="441"/>
      <c r="O2" s="442"/>
      <c r="P2" s="440" t="s">
        <v>426</v>
      </c>
      <c r="Q2" s="441"/>
      <c r="R2" s="441"/>
      <c r="S2" s="441"/>
      <c r="T2" s="441"/>
      <c r="U2" s="442"/>
    </row>
    <row r="3" spans="1:22" ht="54.75" customHeight="1" x14ac:dyDescent="0.3">
      <c r="A3" s="429"/>
      <c r="B3" s="171"/>
      <c r="C3" s="172"/>
      <c r="D3" s="167">
        <v>2015</v>
      </c>
      <c r="E3" s="167">
        <v>2016</v>
      </c>
      <c r="F3" s="167">
        <v>2017</v>
      </c>
      <c r="G3" s="167">
        <v>2018</v>
      </c>
      <c r="H3" s="167">
        <v>2019</v>
      </c>
      <c r="I3" s="167" t="s">
        <v>427</v>
      </c>
      <c r="J3" s="167">
        <v>2015</v>
      </c>
      <c r="K3" s="167">
        <v>2016</v>
      </c>
      <c r="L3" s="167">
        <v>2017</v>
      </c>
      <c r="M3" s="167">
        <v>2018</v>
      </c>
      <c r="N3" s="167">
        <v>2019</v>
      </c>
      <c r="O3" s="167" t="s">
        <v>427</v>
      </c>
      <c r="P3" s="167">
        <v>2015</v>
      </c>
      <c r="Q3" s="167">
        <v>2016</v>
      </c>
      <c r="R3" s="167">
        <v>2017</v>
      </c>
      <c r="S3" s="167">
        <v>2018</v>
      </c>
      <c r="T3" s="167">
        <v>2019</v>
      </c>
      <c r="U3" s="167" t="s">
        <v>427</v>
      </c>
    </row>
    <row r="4" spans="1:22" ht="15.6" customHeight="1" x14ac:dyDescent="0.3">
      <c r="A4" s="437" t="s">
        <v>428</v>
      </c>
      <c r="B4" s="229" t="s">
        <v>429</v>
      </c>
      <c r="C4" s="225" t="s">
        <v>430</v>
      </c>
      <c r="D4" s="177">
        <v>445</v>
      </c>
      <c r="E4" s="177">
        <v>498</v>
      </c>
      <c r="F4" s="177">
        <v>514</v>
      </c>
      <c r="G4" s="177">
        <v>509</v>
      </c>
      <c r="H4" s="177">
        <v>538</v>
      </c>
      <c r="I4" s="177">
        <f t="shared" ref="I4:I21" si="0">AVERAGE(D4:H4)</f>
        <v>500.8</v>
      </c>
      <c r="J4" s="191">
        <f t="shared" ref="J4:J21" si="1">P4/D4</f>
        <v>4.0449438202247189E-2</v>
      </c>
      <c r="K4" s="191">
        <f t="shared" ref="K4:O4" si="2">Q4/E4</f>
        <v>2.8112449799196786E-2</v>
      </c>
      <c r="L4" s="191">
        <f t="shared" si="2"/>
        <v>2.9182879377431907E-2</v>
      </c>
      <c r="M4" s="191">
        <f t="shared" si="2"/>
        <v>2.5540275049115914E-2</v>
      </c>
      <c r="N4" s="191">
        <f t="shared" si="2"/>
        <v>7.4349442379182153E-3</v>
      </c>
      <c r="O4" s="191">
        <f t="shared" si="2"/>
        <v>2.5559105431309907E-2</v>
      </c>
      <c r="P4" s="177">
        <v>18</v>
      </c>
      <c r="Q4" s="177">
        <v>14</v>
      </c>
      <c r="R4" s="177">
        <v>15</v>
      </c>
      <c r="S4" s="177">
        <v>13</v>
      </c>
      <c r="T4" s="177">
        <v>4</v>
      </c>
      <c r="U4" s="177">
        <v>12.8</v>
      </c>
      <c r="V4" s="28"/>
    </row>
    <row r="5" spans="1:22" ht="15.6" customHeight="1" x14ac:dyDescent="0.3">
      <c r="A5" s="438"/>
      <c r="B5" s="229" t="s">
        <v>431</v>
      </c>
      <c r="C5" s="225" t="s">
        <v>430</v>
      </c>
      <c r="D5" s="177">
        <v>73</v>
      </c>
      <c r="E5" s="177">
        <v>79</v>
      </c>
      <c r="F5" s="177">
        <v>83</v>
      </c>
      <c r="G5" s="177">
        <v>81</v>
      </c>
      <c r="H5" s="177">
        <v>98</v>
      </c>
      <c r="I5" s="177">
        <f t="shared" si="0"/>
        <v>82.8</v>
      </c>
      <c r="J5" s="191">
        <f t="shared" si="1"/>
        <v>0</v>
      </c>
      <c r="K5" s="191">
        <f t="shared" ref="K5:K21" si="3">Q5/E5</f>
        <v>2.5316455696202531E-2</v>
      </c>
      <c r="L5" s="191">
        <f t="shared" ref="L5:L21" si="4">R5/F5</f>
        <v>1.2048192771084338E-2</v>
      </c>
      <c r="M5" s="191">
        <f t="shared" ref="M5:M21" si="5">S5/G5</f>
        <v>1.2345679012345678E-2</v>
      </c>
      <c r="N5" s="191">
        <f t="shared" ref="N5:N21" si="6">T5/H5</f>
        <v>1.020408163265306E-2</v>
      </c>
      <c r="O5" s="191">
        <f t="shared" ref="O5:O21" si="7">U5/I5</f>
        <v>1.2077294685990338E-2</v>
      </c>
      <c r="P5" s="177">
        <v>0</v>
      </c>
      <c r="Q5" s="177">
        <v>2</v>
      </c>
      <c r="R5" s="177">
        <v>1</v>
      </c>
      <c r="S5" s="177">
        <v>1</v>
      </c>
      <c r="T5" s="177">
        <v>1</v>
      </c>
      <c r="U5" s="177">
        <v>1</v>
      </c>
    </row>
    <row r="6" spans="1:22" ht="15.6" customHeight="1" x14ac:dyDescent="0.3">
      <c r="A6" s="438"/>
      <c r="B6" s="229" t="s">
        <v>432</v>
      </c>
      <c r="C6" s="225" t="s">
        <v>430</v>
      </c>
      <c r="D6" s="177">
        <v>70</v>
      </c>
      <c r="E6" s="177">
        <v>85</v>
      </c>
      <c r="F6" s="177">
        <v>120</v>
      </c>
      <c r="G6" s="177">
        <v>112</v>
      </c>
      <c r="H6" s="177">
        <v>91</v>
      </c>
      <c r="I6" s="177">
        <f t="shared" si="0"/>
        <v>95.6</v>
      </c>
      <c r="J6" s="191">
        <f t="shared" si="1"/>
        <v>2.8571428571428571E-2</v>
      </c>
      <c r="K6" s="191">
        <f t="shared" si="3"/>
        <v>3.5294117647058823E-2</v>
      </c>
      <c r="L6" s="191">
        <f t="shared" si="4"/>
        <v>4.1666666666666664E-2</v>
      </c>
      <c r="M6" s="191">
        <f t="shared" si="5"/>
        <v>7.1428571428571425E-2</v>
      </c>
      <c r="N6" s="191">
        <f t="shared" si="6"/>
        <v>0</v>
      </c>
      <c r="O6" s="191">
        <f t="shared" si="7"/>
        <v>3.7656903765690378E-2</v>
      </c>
      <c r="P6" s="177">
        <v>2</v>
      </c>
      <c r="Q6" s="177">
        <v>3</v>
      </c>
      <c r="R6" s="177">
        <v>5</v>
      </c>
      <c r="S6" s="177">
        <v>8</v>
      </c>
      <c r="T6" s="177">
        <v>0</v>
      </c>
      <c r="U6" s="177">
        <v>3.6</v>
      </c>
    </row>
    <row r="7" spans="1:22" ht="15.6" customHeight="1" x14ac:dyDescent="0.3">
      <c r="A7" s="438"/>
      <c r="B7" s="229" t="s">
        <v>433</v>
      </c>
      <c r="C7" s="225" t="s">
        <v>430</v>
      </c>
      <c r="D7" s="192">
        <v>32</v>
      </c>
      <c r="E7" s="192">
        <v>52</v>
      </c>
      <c r="F7" s="192">
        <v>39</v>
      </c>
      <c r="G7" s="192">
        <v>27</v>
      </c>
      <c r="H7" s="192">
        <v>50</v>
      </c>
      <c r="I7" s="177">
        <f t="shared" si="0"/>
        <v>40</v>
      </c>
      <c r="J7" s="191">
        <f t="shared" si="1"/>
        <v>0.21875</v>
      </c>
      <c r="K7" s="191">
        <f t="shared" si="3"/>
        <v>7.6923076923076927E-2</v>
      </c>
      <c r="L7" s="191">
        <f t="shared" si="4"/>
        <v>7.6923076923076927E-2</v>
      </c>
      <c r="M7" s="191">
        <f t="shared" si="5"/>
        <v>0.1111111111111111</v>
      </c>
      <c r="N7" s="191">
        <f t="shared" si="6"/>
        <v>0</v>
      </c>
      <c r="O7" s="191">
        <f t="shared" si="7"/>
        <v>8.4999999999999992E-2</v>
      </c>
      <c r="P7" s="192">
        <v>7</v>
      </c>
      <c r="Q7" s="192">
        <v>4</v>
      </c>
      <c r="R7" s="192">
        <v>3</v>
      </c>
      <c r="S7" s="192">
        <v>3</v>
      </c>
      <c r="T7" s="192">
        <v>0</v>
      </c>
      <c r="U7" s="192">
        <v>3.4</v>
      </c>
    </row>
    <row r="8" spans="1:22" ht="15.6" customHeight="1" x14ac:dyDescent="0.3">
      <c r="A8" s="438"/>
      <c r="B8" s="229" t="s">
        <v>434</v>
      </c>
      <c r="C8" s="225" t="s">
        <v>430</v>
      </c>
      <c r="D8" s="192">
        <v>203</v>
      </c>
      <c r="E8" s="192">
        <v>198</v>
      </c>
      <c r="F8" s="192">
        <v>212</v>
      </c>
      <c r="G8" s="192">
        <v>215</v>
      </c>
      <c r="H8" s="192">
        <v>222</v>
      </c>
      <c r="I8" s="177">
        <f t="shared" si="0"/>
        <v>210</v>
      </c>
      <c r="J8" s="191">
        <f t="shared" si="1"/>
        <v>2.9556650246305417E-2</v>
      </c>
      <c r="K8" s="191">
        <f t="shared" si="3"/>
        <v>2.0202020202020204E-2</v>
      </c>
      <c r="L8" s="191">
        <f t="shared" si="4"/>
        <v>1.8867924528301886E-2</v>
      </c>
      <c r="M8" s="191">
        <f t="shared" si="5"/>
        <v>0</v>
      </c>
      <c r="N8" s="191">
        <f t="shared" si="6"/>
        <v>1.3513513513513514E-2</v>
      </c>
      <c r="O8" s="191">
        <f t="shared" si="7"/>
        <v>1.6190476190476189E-2</v>
      </c>
      <c r="P8" s="177">
        <v>6</v>
      </c>
      <c r="Q8" s="177">
        <v>4</v>
      </c>
      <c r="R8" s="177">
        <v>4</v>
      </c>
      <c r="S8" s="177">
        <v>0</v>
      </c>
      <c r="T8" s="177">
        <v>3</v>
      </c>
      <c r="U8" s="177">
        <v>3.4</v>
      </c>
    </row>
    <row r="9" spans="1:22" ht="15.6" customHeight="1" x14ac:dyDescent="0.3">
      <c r="A9" s="439"/>
      <c r="B9" s="229" t="s">
        <v>296</v>
      </c>
      <c r="C9" s="225" t="s">
        <v>430</v>
      </c>
      <c r="D9" s="177">
        <v>67</v>
      </c>
      <c r="E9" s="177">
        <v>84</v>
      </c>
      <c r="F9" s="177">
        <v>60</v>
      </c>
      <c r="G9" s="177">
        <v>74</v>
      </c>
      <c r="H9" s="177">
        <v>77</v>
      </c>
      <c r="I9" s="177">
        <f t="shared" si="0"/>
        <v>72.400000000000006</v>
      </c>
      <c r="J9" s="191">
        <f t="shared" si="1"/>
        <v>4.4776119402985072E-2</v>
      </c>
      <c r="K9" s="191">
        <f t="shared" si="3"/>
        <v>1.1904761904761904E-2</v>
      </c>
      <c r="L9" s="191">
        <f t="shared" si="4"/>
        <v>3.3333333333333333E-2</v>
      </c>
      <c r="M9" s="191">
        <f t="shared" si="5"/>
        <v>1.3513513513513514E-2</v>
      </c>
      <c r="N9" s="191">
        <f t="shared" si="6"/>
        <v>0</v>
      </c>
      <c r="O9" s="191">
        <f t="shared" si="7"/>
        <v>1.9337016574585631E-2</v>
      </c>
      <c r="P9" s="177">
        <v>3</v>
      </c>
      <c r="Q9" s="177">
        <v>1</v>
      </c>
      <c r="R9" s="177">
        <v>2</v>
      </c>
      <c r="S9" s="177">
        <v>1</v>
      </c>
      <c r="T9" s="177">
        <v>0</v>
      </c>
      <c r="U9" s="177">
        <v>1.4</v>
      </c>
    </row>
    <row r="10" spans="1:22" ht="15.6" customHeight="1" x14ac:dyDescent="0.3">
      <c r="A10" s="437" t="s">
        <v>435</v>
      </c>
      <c r="B10" s="229" t="s">
        <v>436</v>
      </c>
      <c r="C10" s="225" t="s">
        <v>430</v>
      </c>
      <c r="D10" s="173">
        <v>1106</v>
      </c>
      <c r="E10" s="173">
        <v>1258</v>
      </c>
      <c r="F10" s="173">
        <v>1094</v>
      </c>
      <c r="G10" s="173">
        <v>1050</v>
      </c>
      <c r="H10" s="173">
        <v>1067</v>
      </c>
      <c r="I10" s="177">
        <f t="shared" si="0"/>
        <v>1115</v>
      </c>
      <c r="J10" s="191">
        <f t="shared" si="1"/>
        <v>6.3291139240506328E-3</v>
      </c>
      <c r="K10" s="191">
        <f t="shared" si="3"/>
        <v>9.538950715421303E-3</v>
      </c>
      <c r="L10" s="191">
        <f t="shared" si="4"/>
        <v>4.570383912248629E-3</v>
      </c>
      <c r="M10" s="191">
        <f t="shared" si="5"/>
        <v>5.7142857142857143E-3</v>
      </c>
      <c r="N10" s="191">
        <f t="shared" si="6"/>
        <v>9.3720712277413302E-3</v>
      </c>
      <c r="O10" s="191">
        <f t="shared" si="7"/>
        <v>7.1748878923766817E-3</v>
      </c>
      <c r="P10" s="174">
        <v>7</v>
      </c>
      <c r="Q10" s="174">
        <v>12</v>
      </c>
      <c r="R10" s="174">
        <v>5</v>
      </c>
      <c r="S10" s="174">
        <v>6</v>
      </c>
      <c r="T10" s="174">
        <v>10</v>
      </c>
      <c r="U10" s="174">
        <f t="shared" ref="U10:U19" si="8">AVERAGE(P10:T10)</f>
        <v>8</v>
      </c>
    </row>
    <row r="11" spans="1:22" ht="15.6" customHeight="1" x14ac:dyDescent="0.3">
      <c r="A11" s="438"/>
      <c r="B11" s="229" t="s">
        <v>437</v>
      </c>
      <c r="C11" s="225" t="s">
        <v>430</v>
      </c>
      <c r="D11" s="173">
        <v>14</v>
      </c>
      <c r="E11" s="173">
        <v>7</v>
      </c>
      <c r="F11" s="173">
        <v>5</v>
      </c>
      <c r="G11" s="173">
        <v>16</v>
      </c>
      <c r="H11" s="173">
        <v>10</v>
      </c>
      <c r="I11" s="177">
        <f t="shared" si="0"/>
        <v>10.4</v>
      </c>
      <c r="J11" s="191">
        <f t="shared" si="1"/>
        <v>0</v>
      </c>
      <c r="K11" s="191">
        <f t="shared" si="3"/>
        <v>0.14285714285714285</v>
      </c>
      <c r="L11" s="191">
        <f t="shared" si="4"/>
        <v>0</v>
      </c>
      <c r="M11" s="191">
        <f t="shared" si="5"/>
        <v>0</v>
      </c>
      <c r="N11" s="191">
        <f t="shared" si="6"/>
        <v>0</v>
      </c>
      <c r="O11" s="191">
        <f t="shared" si="7"/>
        <v>1.9230769230769232E-2</v>
      </c>
      <c r="P11" s="174">
        <v>0</v>
      </c>
      <c r="Q11" s="174">
        <v>1</v>
      </c>
      <c r="R11" s="174">
        <v>0</v>
      </c>
      <c r="S11" s="174">
        <v>0</v>
      </c>
      <c r="T11" s="174">
        <v>0</v>
      </c>
      <c r="U11" s="174">
        <f t="shared" si="8"/>
        <v>0.2</v>
      </c>
    </row>
    <row r="12" spans="1:22" ht="15.6" customHeight="1" x14ac:dyDescent="0.3">
      <c r="A12" s="438"/>
      <c r="B12" s="229" t="s">
        <v>438</v>
      </c>
      <c r="C12" s="225" t="s">
        <v>430</v>
      </c>
      <c r="D12" s="173">
        <v>11</v>
      </c>
      <c r="E12" s="173">
        <v>15</v>
      </c>
      <c r="F12" s="173">
        <v>8</v>
      </c>
      <c r="G12" s="173">
        <v>11</v>
      </c>
      <c r="H12" s="173">
        <v>16</v>
      </c>
      <c r="I12" s="177">
        <f t="shared" si="0"/>
        <v>12.2</v>
      </c>
      <c r="J12" s="191">
        <f t="shared" si="1"/>
        <v>0.27272727272727271</v>
      </c>
      <c r="K12" s="191">
        <f t="shared" si="3"/>
        <v>0.2</v>
      </c>
      <c r="L12" s="191">
        <f t="shared" si="4"/>
        <v>0.125</v>
      </c>
      <c r="M12" s="191">
        <f t="shared" si="5"/>
        <v>0</v>
      </c>
      <c r="N12" s="191">
        <f t="shared" si="6"/>
        <v>0.125</v>
      </c>
      <c r="O12" s="191">
        <f t="shared" si="7"/>
        <v>0.1475409836065574</v>
      </c>
      <c r="P12" s="174">
        <v>3</v>
      </c>
      <c r="Q12" s="174">
        <v>3</v>
      </c>
      <c r="R12" s="174">
        <v>1</v>
      </c>
      <c r="S12" s="174">
        <v>0</v>
      </c>
      <c r="T12" s="174">
        <v>2</v>
      </c>
      <c r="U12" s="174">
        <f t="shared" si="8"/>
        <v>1.8</v>
      </c>
    </row>
    <row r="13" spans="1:22" ht="15.6" customHeight="1" x14ac:dyDescent="0.3">
      <c r="A13" s="438"/>
      <c r="B13" s="229" t="s">
        <v>439</v>
      </c>
      <c r="C13" s="225" t="s">
        <v>430</v>
      </c>
      <c r="D13" s="173">
        <v>31</v>
      </c>
      <c r="E13" s="173">
        <v>52</v>
      </c>
      <c r="F13" s="173">
        <v>30</v>
      </c>
      <c r="G13" s="173">
        <v>39</v>
      </c>
      <c r="H13" s="173">
        <v>44</v>
      </c>
      <c r="I13" s="177">
        <f t="shared" si="0"/>
        <v>39.200000000000003</v>
      </c>
      <c r="J13" s="191">
        <f t="shared" si="1"/>
        <v>9.6774193548387094E-2</v>
      </c>
      <c r="K13" s="191">
        <f t="shared" si="3"/>
        <v>5.7692307692307696E-2</v>
      </c>
      <c r="L13" s="191">
        <f t="shared" si="4"/>
        <v>3.3333333333333333E-2</v>
      </c>
      <c r="M13" s="191">
        <f t="shared" si="5"/>
        <v>0</v>
      </c>
      <c r="N13" s="191">
        <f t="shared" si="6"/>
        <v>4.5454545454545456E-2</v>
      </c>
      <c r="O13" s="191">
        <f t="shared" si="7"/>
        <v>4.5918367346938771E-2</v>
      </c>
      <c r="P13" s="174">
        <v>3</v>
      </c>
      <c r="Q13" s="174">
        <v>3</v>
      </c>
      <c r="R13" s="174">
        <v>1</v>
      </c>
      <c r="S13" s="174">
        <v>0</v>
      </c>
      <c r="T13" s="174">
        <v>2</v>
      </c>
      <c r="U13" s="174">
        <f t="shared" si="8"/>
        <v>1.8</v>
      </c>
    </row>
    <row r="14" spans="1:22" ht="15.6" customHeight="1" x14ac:dyDescent="0.3">
      <c r="A14" s="439"/>
      <c r="B14" s="229" t="s">
        <v>440</v>
      </c>
      <c r="C14" s="225" t="s">
        <v>430</v>
      </c>
      <c r="D14" s="173">
        <f>24+D15</f>
        <v>552</v>
      </c>
      <c r="E14" s="173">
        <f t="shared" ref="E14:H14" si="9">24+E15</f>
        <v>685</v>
      </c>
      <c r="F14" s="173">
        <f t="shared" si="9"/>
        <v>620</v>
      </c>
      <c r="G14" s="173">
        <f t="shared" si="9"/>
        <v>539</v>
      </c>
      <c r="H14" s="173">
        <f t="shared" si="9"/>
        <v>611</v>
      </c>
      <c r="I14" s="177">
        <f t="shared" si="0"/>
        <v>601.4</v>
      </c>
      <c r="J14" s="191">
        <f t="shared" si="1"/>
        <v>0</v>
      </c>
      <c r="K14" s="191">
        <f t="shared" si="3"/>
        <v>0</v>
      </c>
      <c r="L14" s="191">
        <f t="shared" si="4"/>
        <v>1.6129032258064516E-3</v>
      </c>
      <c r="M14" s="191">
        <f t="shared" si="5"/>
        <v>0</v>
      </c>
      <c r="N14" s="191">
        <f t="shared" si="6"/>
        <v>1.6366612111292963E-3</v>
      </c>
      <c r="O14" s="191">
        <f t="shared" si="7"/>
        <v>6.6511473229132032E-4</v>
      </c>
      <c r="P14" s="175">
        <v>0</v>
      </c>
      <c r="Q14" s="175">
        <v>0</v>
      </c>
      <c r="R14" s="175">
        <v>1</v>
      </c>
      <c r="S14" s="175">
        <v>0</v>
      </c>
      <c r="T14" s="175">
        <v>1</v>
      </c>
      <c r="U14" s="174">
        <f t="shared" si="8"/>
        <v>0.4</v>
      </c>
    </row>
    <row r="15" spans="1:22" ht="25.95" customHeight="1" x14ac:dyDescent="0.3">
      <c r="A15" s="437" t="s">
        <v>435</v>
      </c>
      <c r="B15" s="229" t="s">
        <v>441</v>
      </c>
      <c r="C15" s="225" t="s">
        <v>430</v>
      </c>
      <c r="D15" s="176">
        <v>528</v>
      </c>
      <c r="E15" s="176">
        <v>661</v>
      </c>
      <c r="F15" s="176">
        <v>596</v>
      </c>
      <c r="G15" s="176">
        <v>515</v>
      </c>
      <c r="H15" s="176">
        <v>587</v>
      </c>
      <c r="I15" s="177">
        <f t="shared" si="0"/>
        <v>577.4</v>
      </c>
      <c r="J15" s="191">
        <f t="shared" si="1"/>
        <v>0</v>
      </c>
      <c r="K15" s="191">
        <f t="shared" si="3"/>
        <v>0</v>
      </c>
      <c r="L15" s="191">
        <f t="shared" si="4"/>
        <v>1.6778523489932886E-3</v>
      </c>
      <c r="M15" s="191">
        <f t="shared" si="5"/>
        <v>0</v>
      </c>
      <c r="N15" s="191">
        <f t="shared" si="6"/>
        <v>1.7035775127768314E-3</v>
      </c>
      <c r="O15" s="191">
        <f t="shared" si="7"/>
        <v>6.9276065119501214E-4</v>
      </c>
      <c r="P15" s="177">
        <v>0</v>
      </c>
      <c r="Q15" s="177">
        <v>0</v>
      </c>
      <c r="R15" s="177">
        <v>1</v>
      </c>
      <c r="S15" s="177">
        <v>0</v>
      </c>
      <c r="T15" s="177">
        <v>1</v>
      </c>
      <c r="U15" s="174">
        <f t="shared" si="8"/>
        <v>0.4</v>
      </c>
    </row>
    <row r="16" spans="1:22" ht="15.6" customHeight="1" x14ac:dyDescent="0.3">
      <c r="A16" s="438"/>
      <c r="B16" s="229" t="s">
        <v>442</v>
      </c>
      <c r="C16" s="225" t="s">
        <v>430</v>
      </c>
      <c r="D16" s="177">
        <v>20</v>
      </c>
      <c r="E16" s="177">
        <v>23</v>
      </c>
      <c r="F16" s="177">
        <v>27</v>
      </c>
      <c r="G16" s="177">
        <v>17</v>
      </c>
      <c r="H16" s="177">
        <v>26</v>
      </c>
      <c r="I16" s="177">
        <f t="shared" si="0"/>
        <v>22.6</v>
      </c>
      <c r="J16" s="191">
        <f t="shared" si="1"/>
        <v>0</v>
      </c>
      <c r="K16" s="191">
        <f t="shared" si="3"/>
        <v>8.6956521739130432E-2</v>
      </c>
      <c r="L16" s="191">
        <f t="shared" si="4"/>
        <v>3.7037037037037035E-2</v>
      </c>
      <c r="M16" s="191">
        <f t="shared" si="5"/>
        <v>0</v>
      </c>
      <c r="N16" s="191">
        <f t="shared" si="6"/>
        <v>0</v>
      </c>
      <c r="O16" s="191">
        <f t="shared" si="7"/>
        <v>2.6548672566371678E-2</v>
      </c>
      <c r="P16" s="177">
        <v>0</v>
      </c>
      <c r="Q16" s="177">
        <v>2</v>
      </c>
      <c r="R16" s="177">
        <v>1</v>
      </c>
      <c r="S16" s="177">
        <v>0</v>
      </c>
      <c r="T16" s="177">
        <v>0</v>
      </c>
      <c r="U16" s="174">
        <f t="shared" si="8"/>
        <v>0.6</v>
      </c>
    </row>
    <row r="17" spans="1:21" ht="15.6" customHeight="1" x14ac:dyDescent="0.3">
      <c r="A17" s="438"/>
      <c r="B17" s="229" t="s">
        <v>443</v>
      </c>
      <c r="C17" s="225" t="s">
        <v>430</v>
      </c>
      <c r="D17" s="177">
        <v>35</v>
      </c>
      <c r="E17" s="177">
        <v>40</v>
      </c>
      <c r="F17" s="177">
        <v>24</v>
      </c>
      <c r="G17" s="177">
        <v>35</v>
      </c>
      <c r="H17" s="177">
        <v>31</v>
      </c>
      <c r="I17" s="177">
        <f t="shared" si="0"/>
        <v>33</v>
      </c>
      <c r="J17" s="191">
        <f t="shared" si="1"/>
        <v>5.7142857142857141E-2</v>
      </c>
      <c r="K17" s="191">
        <f t="shared" si="3"/>
        <v>7.4999999999999997E-2</v>
      </c>
      <c r="L17" s="191">
        <f t="shared" si="4"/>
        <v>4.1666666666666664E-2</v>
      </c>
      <c r="M17" s="191">
        <f t="shared" si="5"/>
        <v>0</v>
      </c>
      <c r="N17" s="191">
        <f t="shared" si="6"/>
        <v>3.2258064516129031E-2</v>
      </c>
      <c r="O17" s="191">
        <f t="shared" si="7"/>
        <v>4.242424242424242E-2</v>
      </c>
      <c r="P17" s="177">
        <v>2</v>
      </c>
      <c r="Q17" s="177">
        <v>3</v>
      </c>
      <c r="R17" s="177">
        <v>1</v>
      </c>
      <c r="S17" s="177">
        <v>0</v>
      </c>
      <c r="T17" s="177">
        <v>1</v>
      </c>
      <c r="U17" s="174">
        <f t="shared" si="8"/>
        <v>1.4</v>
      </c>
    </row>
    <row r="18" spans="1:21" ht="15.6" customHeight="1" x14ac:dyDescent="0.3">
      <c r="A18" s="438"/>
      <c r="B18" s="229" t="s">
        <v>444</v>
      </c>
      <c r="C18" s="225" t="s">
        <v>430</v>
      </c>
      <c r="D18" s="177">
        <v>14</v>
      </c>
      <c r="E18" s="177">
        <v>21</v>
      </c>
      <c r="F18" s="177">
        <v>19</v>
      </c>
      <c r="G18" s="177">
        <v>22</v>
      </c>
      <c r="H18" s="177">
        <v>15</v>
      </c>
      <c r="I18" s="177">
        <f t="shared" si="0"/>
        <v>18.2</v>
      </c>
      <c r="J18" s="191">
        <f t="shared" si="1"/>
        <v>7.1428571428571425E-2</v>
      </c>
      <c r="K18" s="191">
        <f t="shared" si="3"/>
        <v>0</v>
      </c>
      <c r="L18" s="191">
        <f t="shared" si="4"/>
        <v>0</v>
      </c>
      <c r="M18" s="191">
        <f t="shared" si="5"/>
        <v>4.5454545454545456E-2</v>
      </c>
      <c r="N18" s="191">
        <f t="shared" si="6"/>
        <v>6.6666666666666666E-2</v>
      </c>
      <c r="O18" s="191">
        <f t="shared" si="7"/>
        <v>3.2967032967032968E-2</v>
      </c>
      <c r="P18" s="177">
        <v>1</v>
      </c>
      <c r="Q18" s="177">
        <v>0</v>
      </c>
      <c r="R18" s="177">
        <v>0</v>
      </c>
      <c r="S18" s="177">
        <v>1</v>
      </c>
      <c r="T18" s="177">
        <v>1</v>
      </c>
      <c r="U18" s="174">
        <f t="shared" si="8"/>
        <v>0.6</v>
      </c>
    </row>
    <row r="19" spans="1:21" ht="15.6" customHeight="1" x14ac:dyDescent="0.3">
      <c r="A19" s="439"/>
      <c r="B19" s="229" t="s">
        <v>445</v>
      </c>
      <c r="C19" s="225" t="s">
        <v>430</v>
      </c>
      <c r="D19" s="177">
        <v>293</v>
      </c>
      <c r="E19" s="177">
        <v>282</v>
      </c>
      <c r="F19" s="177">
        <v>257</v>
      </c>
      <c r="G19" s="177">
        <v>219</v>
      </c>
      <c r="H19" s="177">
        <v>208</v>
      </c>
      <c r="I19" s="177">
        <f t="shared" si="0"/>
        <v>251.8</v>
      </c>
      <c r="J19" s="191">
        <f t="shared" si="1"/>
        <v>3.4129692832764505E-3</v>
      </c>
      <c r="K19" s="191">
        <f t="shared" si="3"/>
        <v>3.5460992907801418E-3</v>
      </c>
      <c r="L19" s="191">
        <f t="shared" si="4"/>
        <v>0</v>
      </c>
      <c r="M19" s="191">
        <f t="shared" si="5"/>
        <v>4.5662100456621002E-3</v>
      </c>
      <c r="N19" s="191">
        <f t="shared" si="6"/>
        <v>0</v>
      </c>
      <c r="O19" s="191">
        <f t="shared" si="7"/>
        <v>2.3828435266084191E-3</v>
      </c>
      <c r="P19" s="177">
        <v>1</v>
      </c>
      <c r="Q19" s="177">
        <v>1</v>
      </c>
      <c r="R19" s="177">
        <v>0</v>
      </c>
      <c r="S19" s="177">
        <v>1</v>
      </c>
      <c r="T19" s="177">
        <v>0</v>
      </c>
      <c r="U19" s="174">
        <f t="shared" si="8"/>
        <v>0.6</v>
      </c>
    </row>
    <row r="20" spans="1:21" x14ac:dyDescent="0.3">
      <c r="A20" s="433" t="s">
        <v>446</v>
      </c>
      <c r="B20" s="434"/>
      <c r="C20" s="225" t="s">
        <v>430</v>
      </c>
      <c r="D20" s="173">
        <v>18</v>
      </c>
      <c r="E20" s="173">
        <v>16</v>
      </c>
      <c r="F20" s="173">
        <v>26</v>
      </c>
      <c r="G20" s="173">
        <v>9</v>
      </c>
      <c r="H20" s="173">
        <v>9</v>
      </c>
      <c r="I20" s="177">
        <f t="shared" si="0"/>
        <v>15.6</v>
      </c>
      <c r="J20" s="191">
        <f t="shared" si="1"/>
        <v>0</v>
      </c>
      <c r="K20" s="191">
        <f t="shared" si="3"/>
        <v>0</v>
      </c>
      <c r="L20" s="191">
        <f t="shared" si="4"/>
        <v>0</v>
      </c>
      <c r="M20" s="191">
        <f t="shared" si="5"/>
        <v>0.1111111111111111</v>
      </c>
      <c r="N20" s="191">
        <f t="shared" si="6"/>
        <v>0.22222222222222221</v>
      </c>
      <c r="O20" s="191">
        <f t="shared" si="7"/>
        <v>3.8461538461538464E-2</v>
      </c>
      <c r="P20" s="174">
        <v>0</v>
      </c>
      <c r="Q20" s="174">
        <v>0</v>
      </c>
      <c r="R20" s="174">
        <v>0</v>
      </c>
      <c r="S20" s="174">
        <v>1</v>
      </c>
      <c r="T20" s="174">
        <v>2</v>
      </c>
      <c r="U20" s="174">
        <v>0.6</v>
      </c>
    </row>
    <row r="21" spans="1:21" x14ac:dyDescent="0.3">
      <c r="A21" s="433" t="s">
        <v>447</v>
      </c>
      <c r="B21" s="434"/>
      <c r="C21" s="225" t="s">
        <v>430</v>
      </c>
      <c r="D21" s="177">
        <v>1</v>
      </c>
      <c r="E21" s="177">
        <v>1</v>
      </c>
      <c r="F21" s="177">
        <v>1</v>
      </c>
      <c r="G21" s="177">
        <v>1</v>
      </c>
      <c r="H21" s="177">
        <v>1</v>
      </c>
      <c r="I21" s="177">
        <f t="shared" si="0"/>
        <v>1</v>
      </c>
      <c r="J21" s="191">
        <f t="shared" si="1"/>
        <v>0</v>
      </c>
      <c r="K21" s="191">
        <f t="shared" si="3"/>
        <v>1</v>
      </c>
      <c r="L21" s="191">
        <f t="shared" si="4"/>
        <v>1</v>
      </c>
      <c r="M21" s="191">
        <f t="shared" si="5"/>
        <v>0</v>
      </c>
      <c r="N21" s="191">
        <f t="shared" si="6"/>
        <v>0</v>
      </c>
      <c r="O21" s="191">
        <f t="shared" si="7"/>
        <v>0.4</v>
      </c>
      <c r="P21" s="177">
        <v>0</v>
      </c>
      <c r="Q21" s="177">
        <v>1</v>
      </c>
      <c r="R21" s="177">
        <v>1</v>
      </c>
      <c r="S21" s="177">
        <v>0</v>
      </c>
      <c r="T21" s="177">
        <v>0</v>
      </c>
      <c r="U21" s="177">
        <v>0.4</v>
      </c>
    </row>
    <row r="22" spans="1:21" x14ac:dyDescent="0.3">
      <c r="A22" s="433" t="s">
        <v>296</v>
      </c>
      <c r="B22" s="434"/>
      <c r="C22" s="225" t="s">
        <v>448</v>
      </c>
      <c r="D22" s="174" t="s">
        <v>176</v>
      </c>
      <c r="E22" s="174" t="s">
        <v>176</v>
      </c>
      <c r="F22" s="174" t="s">
        <v>176</v>
      </c>
      <c r="G22" s="174" t="s">
        <v>176</v>
      </c>
      <c r="H22" s="174" t="s">
        <v>176</v>
      </c>
      <c r="I22" s="174" t="s">
        <v>176</v>
      </c>
      <c r="J22" s="174" t="s">
        <v>176</v>
      </c>
      <c r="K22" s="174" t="s">
        <v>176</v>
      </c>
      <c r="L22" s="174" t="s">
        <v>176</v>
      </c>
      <c r="M22" s="174" t="s">
        <v>176</v>
      </c>
      <c r="N22" s="174" t="s">
        <v>176</v>
      </c>
      <c r="O22" s="174" t="s">
        <v>176</v>
      </c>
      <c r="P22" s="174">
        <v>0</v>
      </c>
      <c r="Q22" s="174">
        <v>1</v>
      </c>
      <c r="R22" s="174">
        <v>0</v>
      </c>
      <c r="S22" s="174">
        <v>0</v>
      </c>
      <c r="T22" s="174">
        <v>1</v>
      </c>
      <c r="U22" s="177">
        <v>0.4</v>
      </c>
    </row>
    <row r="23" spans="1:21" x14ac:dyDescent="0.3">
      <c r="A23" s="435"/>
      <c r="B23" s="436"/>
      <c r="C23" s="436"/>
      <c r="D23" s="436"/>
      <c r="E23" s="436"/>
      <c r="F23" s="436"/>
      <c r="G23" s="436"/>
      <c r="H23" s="436"/>
      <c r="I23" s="436"/>
      <c r="J23" s="436"/>
      <c r="K23" s="436"/>
      <c r="L23" s="436"/>
      <c r="M23" s="285"/>
      <c r="N23" s="285"/>
      <c r="O23" s="285"/>
      <c r="P23" s="285"/>
      <c r="Q23" s="285"/>
      <c r="R23" s="285"/>
      <c r="S23" s="285"/>
      <c r="T23" s="285"/>
      <c r="U23" s="286"/>
    </row>
    <row r="24" spans="1:21" ht="18" x14ac:dyDescent="0.35">
      <c r="A24" s="407" t="s">
        <v>449</v>
      </c>
      <c r="B24" s="408"/>
      <c r="C24" s="408"/>
      <c r="D24" s="408"/>
      <c r="E24" s="408"/>
      <c r="F24" s="408"/>
      <c r="G24" s="408"/>
      <c r="H24" s="408"/>
      <c r="I24" s="408"/>
      <c r="J24" s="408"/>
      <c r="K24" s="408"/>
      <c r="L24" s="408"/>
      <c r="M24" s="408"/>
      <c r="N24" s="408"/>
      <c r="O24" s="408"/>
      <c r="P24" s="408"/>
      <c r="Q24" s="408"/>
      <c r="R24" s="408"/>
      <c r="S24" s="408"/>
      <c r="T24" s="408"/>
      <c r="U24" s="409"/>
    </row>
    <row r="25" spans="1:21" ht="63" customHeight="1" x14ac:dyDescent="0.3">
      <c r="A25" s="427" t="s">
        <v>422</v>
      </c>
      <c r="B25" s="229"/>
      <c r="C25" s="167" t="s">
        <v>423</v>
      </c>
      <c r="D25" s="440" t="s">
        <v>424</v>
      </c>
      <c r="E25" s="441"/>
      <c r="F25" s="441"/>
      <c r="G25" s="441"/>
      <c r="H25" s="441"/>
      <c r="I25" s="442"/>
      <c r="J25" s="440" t="s">
        <v>425</v>
      </c>
      <c r="K25" s="441"/>
      <c r="L25" s="441"/>
      <c r="M25" s="441"/>
      <c r="N25" s="441"/>
      <c r="O25" s="442"/>
      <c r="P25" s="440" t="s">
        <v>426</v>
      </c>
      <c r="Q25" s="441"/>
      <c r="R25" s="441"/>
      <c r="S25" s="441"/>
      <c r="T25" s="441"/>
      <c r="U25" s="442"/>
    </row>
    <row r="26" spans="1:21" ht="48" customHeight="1" x14ac:dyDescent="0.3">
      <c r="A26" s="429"/>
      <c r="B26" s="440"/>
      <c r="C26" s="442"/>
      <c r="D26" s="167">
        <v>2015</v>
      </c>
      <c r="E26" s="167">
        <v>2016</v>
      </c>
      <c r="F26" s="167">
        <v>2017</v>
      </c>
      <c r="G26" s="167">
        <v>2018</v>
      </c>
      <c r="H26" s="167">
        <v>2019</v>
      </c>
      <c r="I26" s="167" t="s">
        <v>427</v>
      </c>
      <c r="J26" s="167">
        <v>2015</v>
      </c>
      <c r="K26" s="167">
        <v>2016</v>
      </c>
      <c r="L26" s="167">
        <v>2017</v>
      </c>
      <c r="M26" s="167">
        <v>2018</v>
      </c>
      <c r="N26" s="167">
        <v>2019</v>
      </c>
      <c r="O26" s="167" t="s">
        <v>427</v>
      </c>
      <c r="P26" s="167">
        <v>2015</v>
      </c>
      <c r="Q26" s="167">
        <v>2016</v>
      </c>
      <c r="R26" s="167">
        <v>2017</v>
      </c>
      <c r="S26" s="167">
        <v>2018</v>
      </c>
      <c r="T26" s="167">
        <v>2019</v>
      </c>
      <c r="U26" s="167" t="s">
        <v>427</v>
      </c>
    </row>
    <row r="27" spans="1:21" ht="15" customHeight="1" x14ac:dyDescent="0.3">
      <c r="A27" s="437" t="s">
        <v>428</v>
      </c>
      <c r="B27" s="229" t="s">
        <v>429</v>
      </c>
      <c r="C27" s="225" t="s">
        <v>430</v>
      </c>
      <c r="D27" s="177">
        <f>SUM(D28:D32)</f>
        <v>35</v>
      </c>
      <c r="E27" s="177">
        <f t="shared" ref="E27:F27" si="10">SUM(E28:E32)</f>
        <v>34</v>
      </c>
      <c r="F27" s="177">
        <f t="shared" si="10"/>
        <v>34</v>
      </c>
      <c r="G27" s="177">
        <f>SUM(G28:G32)</f>
        <v>32</v>
      </c>
      <c r="H27" s="177">
        <f>SUM(H28:H32)</f>
        <v>18</v>
      </c>
      <c r="I27" s="177">
        <f t="shared" ref="I27:I45" si="11">AVERAGE(D27:H27)</f>
        <v>30.6</v>
      </c>
      <c r="J27" s="191">
        <f t="shared" ref="J27:J33" si="12">P27/D27</f>
        <v>0.11428571428571428</v>
      </c>
      <c r="K27" s="191">
        <f t="shared" ref="K27:O27" si="13">Q27/E27</f>
        <v>2.9411764705882353E-2</v>
      </c>
      <c r="L27" s="191">
        <f t="shared" si="13"/>
        <v>2.9411764705882353E-2</v>
      </c>
      <c r="M27" s="191">
        <f t="shared" si="13"/>
        <v>0.15625</v>
      </c>
      <c r="N27" s="191">
        <f t="shared" si="13"/>
        <v>5.5555555555555552E-2</v>
      </c>
      <c r="O27" s="191">
        <f t="shared" si="13"/>
        <v>7.8431372549019607E-2</v>
      </c>
      <c r="P27" s="177">
        <v>4</v>
      </c>
      <c r="Q27" s="177">
        <v>1</v>
      </c>
      <c r="R27" s="177">
        <v>1</v>
      </c>
      <c r="S27" s="177">
        <v>5</v>
      </c>
      <c r="T27" s="177">
        <v>1</v>
      </c>
      <c r="U27" s="177">
        <f t="shared" ref="U27:U45" si="14">AVERAGE(P27:T27)</f>
        <v>2.4</v>
      </c>
    </row>
    <row r="28" spans="1:21" ht="15" customHeight="1" x14ac:dyDescent="0.3">
      <c r="A28" s="438"/>
      <c r="B28" s="229" t="s">
        <v>431</v>
      </c>
      <c r="C28" s="225" t="s">
        <v>430</v>
      </c>
      <c r="D28" s="177">
        <v>15</v>
      </c>
      <c r="E28" s="177">
        <v>5</v>
      </c>
      <c r="F28" s="177">
        <v>7</v>
      </c>
      <c r="G28" s="177">
        <v>1</v>
      </c>
      <c r="H28" s="177">
        <v>6</v>
      </c>
      <c r="I28" s="177">
        <f t="shared" si="11"/>
        <v>6.8</v>
      </c>
      <c r="J28" s="191">
        <f t="shared" si="12"/>
        <v>0.2</v>
      </c>
      <c r="K28" s="191">
        <f t="shared" ref="K28:O29" si="15">Q28/E28</f>
        <v>0</v>
      </c>
      <c r="L28" s="191">
        <f t="shared" si="15"/>
        <v>0</v>
      </c>
      <c r="M28" s="191">
        <f t="shared" si="15"/>
        <v>1</v>
      </c>
      <c r="N28" s="191">
        <f t="shared" si="15"/>
        <v>0</v>
      </c>
      <c r="O28" s="191">
        <f t="shared" si="15"/>
        <v>0.11764705882352942</v>
      </c>
      <c r="P28" s="177">
        <v>3</v>
      </c>
      <c r="Q28" s="177">
        <v>0</v>
      </c>
      <c r="R28" s="177">
        <v>0</v>
      </c>
      <c r="S28" s="177">
        <v>1</v>
      </c>
      <c r="T28" s="177">
        <v>0</v>
      </c>
      <c r="U28" s="177">
        <f t="shared" si="14"/>
        <v>0.8</v>
      </c>
    </row>
    <row r="29" spans="1:21" ht="15" customHeight="1" x14ac:dyDescent="0.3">
      <c r="A29" s="438"/>
      <c r="B29" s="229" t="s">
        <v>432</v>
      </c>
      <c r="C29" s="225" t="s">
        <v>430</v>
      </c>
      <c r="D29" s="177">
        <v>17</v>
      </c>
      <c r="E29" s="177">
        <v>24</v>
      </c>
      <c r="F29" s="177">
        <v>24</v>
      </c>
      <c r="G29" s="177">
        <v>26</v>
      </c>
      <c r="H29" s="177">
        <v>10</v>
      </c>
      <c r="I29" s="177">
        <f t="shared" si="11"/>
        <v>20.2</v>
      </c>
      <c r="J29" s="191">
        <f t="shared" si="12"/>
        <v>5.8823529411764705E-2</v>
      </c>
      <c r="K29" s="191">
        <f t="shared" si="15"/>
        <v>0</v>
      </c>
      <c r="L29" s="191">
        <f t="shared" si="15"/>
        <v>4.1666666666666664E-2</v>
      </c>
      <c r="M29" s="191">
        <f t="shared" si="15"/>
        <v>0</v>
      </c>
      <c r="N29" s="191">
        <f t="shared" si="15"/>
        <v>0.1</v>
      </c>
      <c r="O29" s="191">
        <f t="shared" si="15"/>
        <v>2.9702970297029702E-2</v>
      </c>
      <c r="P29" s="177">
        <v>1</v>
      </c>
      <c r="Q29" s="177">
        <v>0</v>
      </c>
      <c r="R29" s="177">
        <v>1</v>
      </c>
      <c r="S29" s="177">
        <v>0</v>
      </c>
      <c r="T29" s="177">
        <v>1</v>
      </c>
      <c r="U29" s="177">
        <f t="shared" si="14"/>
        <v>0.6</v>
      </c>
    </row>
    <row r="30" spans="1:21" ht="15" customHeight="1" x14ac:dyDescent="0.3">
      <c r="A30" s="438"/>
      <c r="B30" s="229" t="s">
        <v>433</v>
      </c>
      <c r="C30" s="225" t="s">
        <v>430</v>
      </c>
      <c r="D30" s="192">
        <v>1</v>
      </c>
      <c r="E30" s="192">
        <v>1</v>
      </c>
      <c r="F30" s="192">
        <v>0</v>
      </c>
      <c r="G30" s="192">
        <v>0</v>
      </c>
      <c r="H30" s="192">
        <v>0</v>
      </c>
      <c r="I30" s="177">
        <f t="shared" si="11"/>
        <v>0.4</v>
      </c>
      <c r="J30" s="191">
        <f t="shared" si="12"/>
        <v>0</v>
      </c>
      <c r="K30" s="191">
        <f>Q30/E30</f>
        <v>0</v>
      </c>
      <c r="L30" s="191">
        <v>0</v>
      </c>
      <c r="M30" s="191">
        <v>0</v>
      </c>
      <c r="N30" s="191">
        <v>0</v>
      </c>
      <c r="O30" s="191">
        <f>U30/I30</f>
        <v>0</v>
      </c>
      <c r="P30" s="192">
        <v>0</v>
      </c>
      <c r="Q30" s="192">
        <v>0</v>
      </c>
      <c r="R30" s="192">
        <v>0</v>
      </c>
      <c r="S30" s="192">
        <v>0</v>
      </c>
      <c r="T30" s="192">
        <v>0</v>
      </c>
      <c r="U30" s="177">
        <f t="shared" si="14"/>
        <v>0</v>
      </c>
    </row>
    <row r="31" spans="1:21" ht="15" customHeight="1" x14ac:dyDescent="0.3">
      <c r="A31" s="438"/>
      <c r="B31" s="229" t="s">
        <v>434</v>
      </c>
      <c r="C31" s="225" t="s">
        <v>430</v>
      </c>
      <c r="D31" s="192">
        <v>1</v>
      </c>
      <c r="E31" s="192">
        <v>3</v>
      </c>
      <c r="F31" s="192">
        <v>1</v>
      </c>
      <c r="G31" s="192">
        <v>4</v>
      </c>
      <c r="H31" s="192">
        <v>1</v>
      </c>
      <c r="I31" s="177">
        <f t="shared" si="11"/>
        <v>2</v>
      </c>
      <c r="J31" s="191">
        <f t="shared" si="12"/>
        <v>0</v>
      </c>
      <c r="K31" s="191">
        <f>Q31/E31</f>
        <v>0</v>
      </c>
      <c r="L31" s="191">
        <f t="shared" ref="L31:N33" si="16">R31/F31</f>
        <v>0</v>
      </c>
      <c r="M31" s="191">
        <f t="shared" si="16"/>
        <v>0.75</v>
      </c>
      <c r="N31" s="191">
        <f t="shared" si="16"/>
        <v>0</v>
      </c>
      <c r="O31" s="191">
        <f>U31/I31</f>
        <v>0.3</v>
      </c>
      <c r="P31" s="177">
        <v>0</v>
      </c>
      <c r="Q31" s="177">
        <v>0</v>
      </c>
      <c r="R31" s="177">
        <v>0</v>
      </c>
      <c r="S31" s="177">
        <v>3</v>
      </c>
      <c r="T31" s="177">
        <v>0</v>
      </c>
      <c r="U31" s="177">
        <f t="shared" si="14"/>
        <v>0.6</v>
      </c>
    </row>
    <row r="32" spans="1:21" ht="15" customHeight="1" x14ac:dyDescent="0.3">
      <c r="A32" s="439"/>
      <c r="B32" s="229" t="s">
        <v>296</v>
      </c>
      <c r="C32" s="225" t="s">
        <v>430</v>
      </c>
      <c r="D32" s="177">
        <v>1</v>
      </c>
      <c r="E32" s="177">
        <v>1</v>
      </c>
      <c r="F32" s="177">
        <v>2</v>
      </c>
      <c r="G32" s="177">
        <v>1</v>
      </c>
      <c r="H32" s="177">
        <v>1</v>
      </c>
      <c r="I32" s="177">
        <f t="shared" si="11"/>
        <v>1.2</v>
      </c>
      <c r="J32" s="191">
        <f t="shared" si="12"/>
        <v>0</v>
      </c>
      <c r="K32" s="191">
        <f>Q32/E32</f>
        <v>1</v>
      </c>
      <c r="L32" s="191">
        <f t="shared" si="16"/>
        <v>0</v>
      </c>
      <c r="M32" s="191">
        <f t="shared" si="16"/>
        <v>1</v>
      </c>
      <c r="N32" s="191">
        <f t="shared" si="16"/>
        <v>0</v>
      </c>
      <c r="O32" s="191">
        <f>U32/I32</f>
        <v>0.33333333333333337</v>
      </c>
      <c r="P32" s="177">
        <v>0</v>
      </c>
      <c r="Q32" s="177">
        <v>1</v>
      </c>
      <c r="R32" s="177">
        <v>0</v>
      </c>
      <c r="S32" s="177">
        <v>1</v>
      </c>
      <c r="T32" s="177">
        <v>0</v>
      </c>
      <c r="U32" s="177">
        <f t="shared" si="14"/>
        <v>0.4</v>
      </c>
    </row>
    <row r="33" spans="1:21" ht="15" customHeight="1" x14ac:dyDescent="0.3">
      <c r="A33" s="437" t="s">
        <v>435</v>
      </c>
      <c r="B33" s="229" t="s">
        <v>436</v>
      </c>
      <c r="C33" s="225" t="s">
        <v>430</v>
      </c>
      <c r="D33" s="173">
        <f>SUM(D34:D45)</f>
        <v>60</v>
      </c>
      <c r="E33" s="173">
        <f t="shared" ref="E33:H33" si="17">SUM(E34:E45)</f>
        <v>27</v>
      </c>
      <c r="F33" s="173">
        <f t="shared" si="17"/>
        <v>22</v>
      </c>
      <c r="G33" s="173">
        <f t="shared" si="17"/>
        <v>21</v>
      </c>
      <c r="H33" s="173">
        <f t="shared" si="17"/>
        <v>15</v>
      </c>
      <c r="I33" s="173">
        <f t="shared" si="11"/>
        <v>29</v>
      </c>
      <c r="J33" s="191">
        <f t="shared" si="12"/>
        <v>1.6666666666666666E-2</v>
      </c>
      <c r="K33" s="191">
        <f>Q33/E33</f>
        <v>0</v>
      </c>
      <c r="L33" s="191">
        <f t="shared" si="16"/>
        <v>0</v>
      </c>
      <c r="M33" s="191">
        <f t="shared" si="16"/>
        <v>0</v>
      </c>
      <c r="N33" s="191">
        <f t="shared" si="16"/>
        <v>0</v>
      </c>
      <c r="O33" s="191">
        <f>U33/I33</f>
        <v>6.8965517241379318E-3</v>
      </c>
      <c r="P33" s="174">
        <v>1</v>
      </c>
      <c r="Q33" s="174">
        <v>0</v>
      </c>
      <c r="R33" s="174">
        <v>0</v>
      </c>
      <c r="S33" s="174">
        <v>0</v>
      </c>
      <c r="T33" s="174">
        <v>0</v>
      </c>
      <c r="U33" s="177">
        <f t="shared" si="14"/>
        <v>0.2</v>
      </c>
    </row>
    <row r="34" spans="1:21" ht="15" customHeight="1" x14ac:dyDescent="0.3">
      <c r="A34" s="438"/>
      <c r="B34" s="229" t="s">
        <v>437</v>
      </c>
      <c r="C34" s="225" t="s">
        <v>430</v>
      </c>
      <c r="D34" s="173">
        <v>0</v>
      </c>
      <c r="E34" s="173">
        <v>0</v>
      </c>
      <c r="F34" s="173">
        <v>0</v>
      </c>
      <c r="G34" s="173">
        <v>0</v>
      </c>
      <c r="H34" s="173">
        <v>0</v>
      </c>
      <c r="I34" s="177">
        <f t="shared" si="11"/>
        <v>0</v>
      </c>
      <c r="J34" s="191">
        <v>0</v>
      </c>
      <c r="K34" s="191">
        <v>0</v>
      </c>
      <c r="L34" s="191">
        <v>0</v>
      </c>
      <c r="M34" s="191">
        <v>0</v>
      </c>
      <c r="N34" s="191">
        <v>0</v>
      </c>
      <c r="O34" s="191">
        <v>0</v>
      </c>
      <c r="P34" s="174">
        <v>0</v>
      </c>
      <c r="Q34" s="174">
        <v>0</v>
      </c>
      <c r="R34" s="174">
        <v>0</v>
      </c>
      <c r="S34" s="174">
        <v>0</v>
      </c>
      <c r="T34" s="174">
        <v>0</v>
      </c>
      <c r="U34" s="177">
        <f t="shared" si="14"/>
        <v>0</v>
      </c>
    </row>
    <row r="35" spans="1:21" ht="15" customHeight="1" x14ac:dyDescent="0.3">
      <c r="A35" s="438"/>
      <c r="B35" s="229" t="s">
        <v>438</v>
      </c>
      <c r="C35" s="225" t="s">
        <v>430</v>
      </c>
      <c r="D35" s="173">
        <v>1</v>
      </c>
      <c r="E35" s="173">
        <v>3</v>
      </c>
      <c r="F35" s="173">
        <v>3</v>
      </c>
      <c r="G35" s="173">
        <v>2</v>
      </c>
      <c r="H35" s="173">
        <v>1</v>
      </c>
      <c r="I35" s="177">
        <f t="shared" si="11"/>
        <v>2</v>
      </c>
      <c r="J35" s="191">
        <f t="shared" ref="J35:O35" si="18">P35/D35</f>
        <v>0</v>
      </c>
      <c r="K35" s="191">
        <f t="shared" si="18"/>
        <v>0</v>
      </c>
      <c r="L35" s="191">
        <f t="shared" si="18"/>
        <v>0</v>
      </c>
      <c r="M35" s="191">
        <f t="shared" si="18"/>
        <v>0</v>
      </c>
      <c r="N35" s="191">
        <f t="shared" si="18"/>
        <v>0</v>
      </c>
      <c r="O35" s="191">
        <f t="shared" si="18"/>
        <v>0</v>
      </c>
      <c r="P35" s="174">
        <v>0</v>
      </c>
      <c r="Q35" s="174">
        <v>0</v>
      </c>
      <c r="R35" s="174">
        <v>0</v>
      </c>
      <c r="S35" s="174">
        <v>0</v>
      </c>
      <c r="T35" s="174">
        <v>0</v>
      </c>
      <c r="U35" s="177">
        <f t="shared" si="14"/>
        <v>0</v>
      </c>
    </row>
    <row r="36" spans="1:21" ht="15" customHeight="1" x14ac:dyDescent="0.3">
      <c r="A36" s="438"/>
      <c r="B36" s="229" t="s">
        <v>439</v>
      </c>
      <c r="C36" s="225" t="s">
        <v>430</v>
      </c>
      <c r="D36" s="173">
        <v>0</v>
      </c>
      <c r="E36" s="173">
        <v>0</v>
      </c>
      <c r="F36" s="173">
        <v>0</v>
      </c>
      <c r="G36" s="173">
        <v>0</v>
      </c>
      <c r="H36" s="173">
        <v>0</v>
      </c>
      <c r="I36" s="177">
        <f t="shared" si="11"/>
        <v>0</v>
      </c>
      <c r="J36" s="191">
        <v>0</v>
      </c>
      <c r="K36" s="191">
        <v>0</v>
      </c>
      <c r="L36" s="191">
        <v>0</v>
      </c>
      <c r="M36" s="191">
        <v>0</v>
      </c>
      <c r="N36" s="191">
        <v>0</v>
      </c>
      <c r="O36" s="191">
        <v>0</v>
      </c>
      <c r="P36" s="174">
        <v>0</v>
      </c>
      <c r="Q36" s="174">
        <v>0</v>
      </c>
      <c r="R36" s="174">
        <v>0</v>
      </c>
      <c r="S36" s="174">
        <v>0</v>
      </c>
      <c r="T36" s="174">
        <v>0</v>
      </c>
      <c r="U36" s="177">
        <f t="shared" si="14"/>
        <v>0</v>
      </c>
    </row>
    <row r="37" spans="1:21" ht="15" customHeight="1" x14ac:dyDescent="0.3">
      <c r="A37" s="439"/>
      <c r="B37" s="229" t="s">
        <v>440</v>
      </c>
      <c r="C37" s="225" t="s">
        <v>430</v>
      </c>
      <c r="D37" s="173">
        <v>0</v>
      </c>
      <c r="E37" s="173">
        <v>0</v>
      </c>
      <c r="F37" s="173">
        <v>0</v>
      </c>
      <c r="G37" s="173">
        <v>0</v>
      </c>
      <c r="H37" s="173">
        <v>0</v>
      </c>
      <c r="I37" s="177">
        <f t="shared" si="11"/>
        <v>0</v>
      </c>
      <c r="J37" s="191">
        <v>0</v>
      </c>
      <c r="K37" s="191">
        <v>0</v>
      </c>
      <c r="L37" s="191">
        <v>0</v>
      </c>
      <c r="M37" s="191">
        <v>0</v>
      </c>
      <c r="N37" s="191">
        <v>0</v>
      </c>
      <c r="O37" s="191">
        <v>0</v>
      </c>
      <c r="P37" s="175">
        <v>0</v>
      </c>
      <c r="Q37" s="175">
        <v>0</v>
      </c>
      <c r="R37" s="175">
        <v>0</v>
      </c>
      <c r="S37" s="175">
        <v>0</v>
      </c>
      <c r="T37" s="175">
        <v>0</v>
      </c>
      <c r="U37" s="177">
        <f t="shared" si="14"/>
        <v>0</v>
      </c>
    </row>
    <row r="38" spans="1:21" ht="25.95" customHeight="1" x14ac:dyDescent="0.3">
      <c r="A38" s="437" t="s">
        <v>435</v>
      </c>
      <c r="B38" s="229" t="s">
        <v>441</v>
      </c>
      <c r="C38" s="225" t="s">
        <v>430</v>
      </c>
      <c r="D38" s="176">
        <v>0</v>
      </c>
      <c r="E38" s="176">
        <v>0</v>
      </c>
      <c r="F38" s="176">
        <v>0</v>
      </c>
      <c r="G38" s="176">
        <v>0</v>
      </c>
      <c r="H38" s="176">
        <v>0</v>
      </c>
      <c r="I38" s="177">
        <f t="shared" si="11"/>
        <v>0</v>
      </c>
      <c r="J38" s="191">
        <v>0</v>
      </c>
      <c r="K38" s="191">
        <v>0</v>
      </c>
      <c r="L38" s="191">
        <v>0</v>
      </c>
      <c r="M38" s="191">
        <v>0</v>
      </c>
      <c r="N38" s="191">
        <v>0</v>
      </c>
      <c r="O38" s="191">
        <v>0</v>
      </c>
      <c r="P38" s="177">
        <v>0</v>
      </c>
      <c r="Q38" s="177">
        <v>0</v>
      </c>
      <c r="R38" s="177">
        <v>0</v>
      </c>
      <c r="S38" s="177">
        <v>0</v>
      </c>
      <c r="T38" s="177">
        <v>0</v>
      </c>
      <c r="U38" s="177">
        <f t="shared" si="14"/>
        <v>0</v>
      </c>
    </row>
    <row r="39" spans="1:21" ht="15" customHeight="1" x14ac:dyDescent="0.3">
      <c r="A39" s="438"/>
      <c r="B39" s="229" t="s">
        <v>442</v>
      </c>
      <c r="C39" s="225" t="s">
        <v>430</v>
      </c>
      <c r="D39" s="177">
        <v>1</v>
      </c>
      <c r="E39" s="177">
        <v>0</v>
      </c>
      <c r="F39" s="177">
        <v>0</v>
      </c>
      <c r="G39" s="177">
        <v>2</v>
      </c>
      <c r="H39" s="177">
        <v>0</v>
      </c>
      <c r="I39" s="177">
        <f t="shared" si="11"/>
        <v>0.6</v>
      </c>
      <c r="J39" s="191">
        <v>0</v>
      </c>
      <c r="K39" s="191">
        <v>0</v>
      </c>
      <c r="L39" s="191">
        <v>0</v>
      </c>
      <c r="M39" s="191">
        <v>0</v>
      </c>
      <c r="N39" s="191">
        <v>0</v>
      </c>
      <c r="O39" s="191">
        <v>0</v>
      </c>
      <c r="P39" s="177">
        <v>0</v>
      </c>
      <c r="Q39" s="177">
        <v>0</v>
      </c>
      <c r="R39" s="177">
        <v>0</v>
      </c>
      <c r="S39" s="177">
        <v>0</v>
      </c>
      <c r="T39" s="177">
        <v>0</v>
      </c>
      <c r="U39" s="177">
        <f t="shared" si="14"/>
        <v>0</v>
      </c>
    </row>
    <row r="40" spans="1:21" ht="15" customHeight="1" x14ac:dyDescent="0.3">
      <c r="A40" s="438"/>
      <c r="B40" s="229" t="s">
        <v>443</v>
      </c>
      <c r="C40" s="225" t="s">
        <v>430</v>
      </c>
      <c r="D40" s="177">
        <v>1</v>
      </c>
      <c r="E40" s="177">
        <v>1</v>
      </c>
      <c r="F40" s="177">
        <v>0</v>
      </c>
      <c r="G40" s="177">
        <v>1</v>
      </c>
      <c r="H40" s="177">
        <v>0</v>
      </c>
      <c r="I40" s="177">
        <f t="shared" si="11"/>
        <v>0.6</v>
      </c>
      <c r="J40" s="191">
        <f>P40/D40</f>
        <v>1</v>
      </c>
      <c r="K40" s="191">
        <f>Q40/E40</f>
        <v>0</v>
      </c>
      <c r="L40" s="191">
        <v>0</v>
      </c>
      <c r="M40" s="191">
        <f>S40/G40</f>
        <v>0</v>
      </c>
      <c r="N40" s="191">
        <v>0</v>
      </c>
      <c r="O40" s="191">
        <f>U40/I40</f>
        <v>0.33333333333333337</v>
      </c>
      <c r="P40" s="177">
        <v>1</v>
      </c>
      <c r="Q40" s="177">
        <v>0</v>
      </c>
      <c r="R40" s="177">
        <v>0</v>
      </c>
      <c r="S40" s="177">
        <v>0</v>
      </c>
      <c r="T40" s="177">
        <v>0</v>
      </c>
      <c r="U40" s="177">
        <f t="shared" si="14"/>
        <v>0.2</v>
      </c>
    </row>
    <row r="41" spans="1:21" ht="15" customHeight="1" x14ac:dyDescent="0.3">
      <c r="A41" s="438"/>
      <c r="B41" s="229" t="s">
        <v>444</v>
      </c>
      <c r="C41" s="225" t="s">
        <v>430</v>
      </c>
      <c r="D41" s="177">
        <v>4</v>
      </c>
      <c r="E41" s="177">
        <v>1</v>
      </c>
      <c r="F41" s="177">
        <v>1</v>
      </c>
      <c r="G41" s="177">
        <v>0</v>
      </c>
      <c r="H41" s="177">
        <v>1</v>
      </c>
      <c r="I41" s="177">
        <f t="shared" si="11"/>
        <v>1.4</v>
      </c>
      <c r="J41" s="191">
        <f>P41/D41</f>
        <v>0</v>
      </c>
      <c r="K41" s="191">
        <f>Q41/E41</f>
        <v>0</v>
      </c>
      <c r="L41" s="191">
        <f>R41/F41</f>
        <v>0</v>
      </c>
      <c r="M41" s="191">
        <v>0</v>
      </c>
      <c r="N41" s="191">
        <f>T41/H41</f>
        <v>0</v>
      </c>
      <c r="O41" s="191">
        <f>U41/I41</f>
        <v>0</v>
      </c>
      <c r="P41" s="177">
        <v>0</v>
      </c>
      <c r="Q41" s="177">
        <v>0</v>
      </c>
      <c r="R41" s="177">
        <v>0</v>
      </c>
      <c r="S41" s="177">
        <v>0</v>
      </c>
      <c r="T41" s="177">
        <v>0</v>
      </c>
      <c r="U41" s="177">
        <f t="shared" si="14"/>
        <v>0</v>
      </c>
    </row>
    <row r="42" spans="1:21" ht="15" customHeight="1" x14ac:dyDescent="0.3">
      <c r="A42" s="439"/>
      <c r="B42" s="229" t="s">
        <v>445</v>
      </c>
      <c r="C42" s="225" t="s">
        <v>430</v>
      </c>
      <c r="D42" s="177">
        <v>0</v>
      </c>
      <c r="E42" s="177">
        <v>0</v>
      </c>
      <c r="F42" s="177">
        <v>0</v>
      </c>
      <c r="G42" s="177">
        <v>0</v>
      </c>
      <c r="H42" s="177">
        <v>1</v>
      </c>
      <c r="I42" s="177">
        <f t="shared" si="11"/>
        <v>0.2</v>
      </c>
      <c r="J42" s="191">
        <v>0</v>
      </c>
      <c r="K42" s="191">
        <v>0</v>
      </c>
      <c r="L42" s="191">
        <v>0</v>
      </c>
      <c r="M42" s="191">
        <v>0</v>
      </c>
      <c r="N42" s="191">
        <f>T42/H42</f>
        <v>0</v>
      </c>
      <c r="O42" s="191">
        <f>U42/I42</f>
        <v>0</v>
      </c>
      <c r="P42" s="177">
        <v>0</v>
      </c>
      <c r="Q42" s="177">
        <v>0</v>
      </c>
      <c r="R42" s="177">
        <v>0</v>
      </c>
      <c r="S42" s="177">
        <v>0</v>
      </c>
      <c r="T42" s="177">
        <v>0</v>
      </c>
      <c r="U42" s="177">
        <f t="shared" si="14"/>
        <v>0</v>
      </c>
    </row>
    <row r="43" spans="1:21" ht="15" customHeight="1" x14ac:dyDescent="0.3">
      <c r="A43" s="433" t="s">
        <v>446</v>
      </c>
      <c r="B43" s="434"/>
      <c r="C43" s="225" t="s">
        <v>430</v>
      </c>
      <c r="D43" s="173">
        <v>41</v>
      </c>
      <c r="E43" s="173">
        <v>20</v>
      </c>
      <c r="F43" s="173">
        <v>15</v>
      </c>
      <c r="G43" s="173">
        <v>12</v>
      </c>
      <c r="H43" s="173">
        <v>12</v>
      </c>
      <c r="I43" s="177">
        <f t="shared" si="11"/>
        <v>20</v>
      </c>
      <c r="J43" s="191">
        <f>P43/D43</f>
        <v>0</v>
      </c>
      <c r="K43" s="191">
        <f>Q43/E43</f>
        <v>0</v>
      </c>
      <c r="L43" s="191">
        <f>R43/F43</f>
        <v>0</v>
      </c>
      <c r="M43" s="191">
        <f>S43/G43</f>
        <v>0</v>
      </c>
      <c r="N43" s="191">
        <f>T43/H43</f>
        <v>0</v>
      </c>
      <c r="O43" s="191">
        <f>U43/I43</f>
        <v>0</v>
      </c>
      <c r="P43" s="174">
        <v>0</v>
      </c>
      <c r="Q43" s="174">
        <v>0</v>
      </c>
      <c r="R43" s="177">
        <v>0</v>
      </c>
      <c r="S43" s="177">
        <v>0</v>
      </c>
      <c r="T43" s="177">
        <v>0</v>
      </c>
      <c r="U43" s="177">
        <f t="shared" si="14"/>
        <v>0</v>
      </c>
    </row>
    <row r="44" spans="1:21" ht="15" customHeight="1" x14ac:dyDescent="0.3">
      <c r="A44" s="433" t="s">
        <v>447</v>
      </c>
      <c r="B44" s="434"/>
      <c r="C44" s="225" t="s">
        <v>430</v>
      </c>
      <c r="D44" s="177">
        <v>0</v>
      </c>
      <c r="E44" s="177">
        <v>0</v>
      </c>
      <c r="F44" s="177">
        <v>0</v>
      </c>
      <c r="G44" s="177">
        <v>0</v>
      </c>
      <c r="H44" s="177">
        <v>0</v>
      </c>
      <c r="I44" s="177">
        <f t="shared" si="11"/>
        <v>0</v>
      </c>
      <c r="J44" s="191">
        <v>0</v>
      </c>
      <c r="K44" s="191">
        <v>0</v>
      </c>
      <c r="L44" s="191">
        <v>0</v>
      </c>
      <c r="M44" s="191">
        <v>0</v>
      </c>
      <c r="N44" s="191">
        <v>0</v>
      </c>
      <c r="O44" s="191">
        <v>0</v>
      </c>
      <c r="P44" s="177">
        <v>0</v>
      </c>
      <c r="Q44" s="177">
        <v>0</v>
      </c>
      <c r="R44" s="177">
        <v>0</v>
      </c>
      <c r="S44" s="177">
        <v>0</v>
      </c>
      <c r="T44" s="177">
        <v>0</v>
      </c>
      <c r="U44" s="177">
        <f t="shared" si="14"/>
        <v>0</v>
      </c>
    </row>
    <row r="45" spans="1:21" ht="15" customHeight="1" x14ac:dyDescent="0.3">
      <c r="A45" s="433" t="s">
        <v>296</v>
      </c>
      <c r="B45" s="434"/>
      <c r="C45" s="225" t="s">
        <v>448</v>
      </c>
      <c r="D45" s="174">
        <v>12</v>
      </c>
      <c r="E45" s="174">
        <v>2</v>
      </c>
      <c r="F45" s="174">
        <v>3</v>
      </c>
      <c r="G45" s="174">
        <v>4</v>
      </c>
      <c r="H45" s="174">
        <v>0</v>
      </c>
      <c r="I45" s="177">
        <f t="shared" si="11"/>
        <v>4.2</v>
      </c>
      <c r="J45" s="191">
        <f>P45/D45</f>
        <v>0</v>
      </c>
      <c r="K45" s="191">
        <f>Q45/E45</f>
        <v>0.5</v>
      </c>
      <c r="L45" s="191">
        <f>R45/F45</f>
        <v>0</v>
      </c>
      <c r="M45" s="191">
        <f>S45/G45</f>
        <v>0</v>
      </c>
      <c r="N45" s="191">
        <v>0</v>
      </c>
      <c r="O45" s="191">
        <f>U45/I45</f>
        <v>9.5238095238095233E-2</v>
      </c>
      <c r="P45" s="174">
        <v>0</v>
      </c>
      <c r="Q45" s="174">
        <v>1</v>
      </c>
      <c r="R45" s="174">
        <v>0</v>
      </c>
      <c r="S45" s="174">
        <v>0</v>
      </c>
      <c r="T45" s="174">
        <v>1</v>
      </c>
      <c r="U45" s="177">
        <f t="shared" si="14"/>
        <v>0.4</v>
      </c>
    </row>
    <row r="46" spans="1:21" x14ac:dyDescent="0.3">
      <c r="A46" s="435"/>
      <c r="B46" s="436"/>
      <c r="C46" s="436"/>
      <c r="D46" s="436"/>
      <c r="E46" s="436"/>
      <c r="F46" s="436"/>
      <c r="G46" s="436"/>
      <c r="H46" s="436"/>
      <c r="I46" s="436"/>
      <c r="J46" s="436"/>
      <c r="K46" s="436"/>
      <c r="L46" s="436"/>
      <c r="M46" s="285"/>
      <c r="N46" s="285"/>
      <c r="O46" s="285"/>
      <c r="P46" s="285"/>
      <c r="Q46" s="285"/>
      <c r="R46" s="285"/>
      <c r="S46" s="285"/>
      <c r="T46" s="285"/>
      <c r="U46" s="286"/>
    </row>
  </sheetData>
  <mergeCells count="25">
    <mergeCell ref="A1:U1"/>
    <mergeCell ref="A2:A3"/>
    <mergeCell ref="A23:L23"/>
    <mergeCell ref="D2:I2"/>
    <mergeCell ref="J2:O2"/>
    <mergeCell ref="P2:U2"/>
    <mergeCell ref="A4:A9"/>
    <mergeCell ref="A10:A14"/>
    <mergeCell ref="A20:B20"/>
    <mergeCell ref="A21:B21"/>
    <mergeCell ref="A22:B22"/>
    <mergeCell ref="A15:A19"/>
    <mergeCell ref="A24:U24"/>
    <mergeCell ref="A25:A26"/>
    <mergeCell ref="D25:I25"/>
    <mergeCell ref="J25:O25"/>
    <mergeCell ref="P25:U25"/>
    <mergeCell ref="B26:C26"/>
    <mergeCell ref="A45:B45"/>
    <mergeCell ref="A46:L46"/>
    <mergeCell ref="A27:A32"/>
    <mergeCell ref="A33:A37"/>
    <mergeCell ref="A43:B43"/>
    <mergeCell ref="A44:B44"/>
    <mergeCell ref="A38:A42"/>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1" manualBreakCount="1">
    <brk id="23"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A5B4-3A58-487B-A0FE-35E5EEDA7CD2}">
  <dimension ref="A1:H10"/>
  <sheetViews>
    <sheetView view="pageLayout" topLeftCell="A7" zoomScaleNormal="100" zoomScaleSheetLayoutView="100" workbookViewId="0">
      <selection activeCell="B10" sqref="B10"/>
    </sheetView>
  </sheetViews>
  <sheetFormatPr defaultRowHeight="14.4" x14ac:dyDescent="0.3"/>
  <cols>
    <col min="1" max="1" width="41.5546875" customWidth="1"/>
    <col min="7" max="7" width="48.88671875" customWidth="1"/>
    <col min="8" max="8" width="32.109375" customWidth="1"/>
  </cols>
  <sheetData>
    <row r="1" spans="1:8" ht="18" x14ac:dyDescent="0.35">
      <c r="A1" s="446" t="s">
        <v>450</v>
      </c>
      <c r="B1" s="447"/>
      <c r="C1" s="447"/>
      <c r="D1" s="447"/>
      <c r="E1" s="447"/>
      <c r="F1" s="447"/>
      <c r="G1" s="447"/>
      <c r="H1" s="448"/>
    </row>
    <row r="2" spans="1:8" x14ac:dyDescent="0.3">
      <c r="A2" s="287" t="s">
        <v>451</v>
      </c>
      <c r="B2" s="11">
        <v>2015</v>
      </c>
      <c r="C2" s="15">
        <v>2016</v>
      </c>
      <c r="D2" s="15">
        <v>2017</v>
      </c>
      <c r="E2" s="15">
        <v>2018</v>
      </c>
      <c r="F2" s="15">
        <v>2019</v>
      </c>
      <c r="G2" s="225" t="s">
        <v>3</v>
      </c>
      <c r="H2" s="288" t="s">
        <v>452</v>
      </c>
    </row>
    <row r="3" spans="1:8" ht="39.6" customHeight="1" x14ac:dyDescent="0.3">
      <c r="A3" s="283" t="s">
        <v>453</v>
      </c>
      <c r="B3" s="42">
        <v>0</v>
      </c>
      <c r="C3" s="42">
        <v>0</v>
      </c>
      <c r="D3" s="42">
        <v>66</v>
      </c>
      <c r="E3" s="42">
        <v>59</v>
      </c>
      <c r="F3" s="42">
        <v>99</v>
      </c>
      <c r="G3" s="5" t="s">
        <v>454</v>
      </c>
      <c r="H3" s="289" t="s">
        <v>455</v>
      </c>
    </row>
    <row r="4" spans="1:8" ht="39.6" customHeight="1" x14ac:dyDescent="0.3">
      <c r="A4" s="283" t="s">
        <v>456</v>
      </c>
      <c r="B4" s="43">
        <v>0</v>
      </c>
      <c r="C4" s="43">
        <v>0</v>
      </c>
      <c r="D4" s="44">
        <v>5.9089967602127562E-4</v>
      </c>
      <c r="E4" s="44">
        <v>9.4661293459530251E-4</v>
      </c>
      <c r="F4" s="44">
        <v>2.2707127847105342E-3</v>
      </c>
      <c r="G4" s="29" t="s">
        <v>457</v>
      </c>
      <c r="H4" s="290" t="s">
        <v>458</v>
      </c>
    </row>
    <row r="5" spans="1:8" ht="39.6" customHeight="1" x14ac:dyDescent="0.3">
      <c r="A5" s="283" t="s">
        <v>459</v>
      </c>
      <c r="B5" s="42">
        <v>0</v>
      </c>
      <c r="C5" s="42">
        <v>0</v>
      </c>
      <c r="D5" s="42">
        <v>230</v>
      </c>
      <c r="E5" s="42">
        <v>295</v>
      </c>
      <c r="F5" s="42">
        <v>177</v>
      </c>
      <c r="G5" s="5" t="s">
        <v>460</v>
      </c>
      <c r="H5" s="289" t="s">
        <v>461</v>
      </c>
    </row>
    <row r="6" spans="1:8" ht="39.6" customHeight="1" x14ac:dyDescent="0.3">
      <c r="A6" s="283" t="s">
        <v>462</v>
      </c>
      <c r="B6" s="45">
        <v>0</v>
      </c>
      <c r="C6" s="45">
        <v>0</v>
      </c>
      <c r="D6" s="44">
        <v>2E-3</v>
      </c>
      <c r="E6" s="44">
        <v>4.7999999999999996E-3</v>
      </c>
      <c r="F6" s="44">
        <v>4.1999999999999997E-3</v>
      </c>
      <c r="G6" s="29" t="s">
        <v>463</v>
      </c>
      <c r="H6" s="290" t="s">
        <v>464</v>
      </c>
    </row>
    <row r="7" spans="1:8" ht="39.6" customHeight="1" x14ac:dyDescent="0.3">
      <c r="A7" s="283" t="s">
        <v>465</v>
      </c>
      <c r="B7" s="42">
        <v>0</v>
      </c>
      <c r="C7" s="42">
        <v>0</v>
      </c>
      <c r="D7" s="42">
        <v>744542.15</v>
      </c>
      <c r="E7" s="42">
        <v>1061636.9666666666</v>
      </c>
      <c r="F7" s="42">
        <v>1325490.4333333333</v>
      </c>
      <c r="G7" s="5" t="s">
        <v>466</v>
      </c>
      <c r="H7" s="289" t="s">
        <v>467</v>
      </c>
    </row>
    <row r="8" spans="1:8" ht="39.6" customHeight="1" thickBot="1" x14ac:dyDescent="0.35">
      <c r="A8" s="291" t="s">
        <v>468</v>
      </c>
      <c r="B8" s="46">
        <v>0</v>
      </c>
      <c r="C8" s="46">
        <v>0</v>
      </c>
      <c r="D8" s="46">
        <v>7</v>
      </c>
      <c r="E8" s="46">
        <v>17</v>
      </c>
      <c r="F8" s="46">
        <v>30</v>
      </c>
      <c r="G8" s="18" t="s">
        <v>469</v>
      </c>
      <c r="H8" s="292" t="s">
        <v>470</v>
      </c>
    </row>
    <row r="9" spans="1:8" x14ac:dyDescent="0.3">
      <c r="A9" s="293"/>
      <c r="B9" s="294"/>
      <c r="C9" s="294"/>
      <c r="D9" s="294"/>
      <c r="E9" s="294"/>
      <c r="F9" s="294"/>
      <c r="G9" s="294"/>
      <c r="H9" s="295"/>
    </row>
    <row r="10" spans="1:8" x14ac:dyDescent="0.3">
      <c r="A10" s="2"/>
    </row>
  </sheetData>
  <mergeCells count="1">
    <mergeCell ref="A1:H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10C9-1FA9-44A0-93B7-DE8260FAD9E8}">
  <dimension ref="A1:G45"/>
  <sheetViews>
    <sheetView view="pageLayout" zoomScale="55" zoomScaleNormal="70" zoomScalePageLayoutView="55" workbookViewId="0">
      <selection activeCell="B28" sqref="B28"/>
    </sheetView>
  </sheetViews>
  <sheetFormatPr defaultRowHeight="14.4" x14ac:dyDescent="0.3"/>
  <cols>
    <col min="1" max="1" width="18.33203125" customWidth="1"/>
    <col min="2" max="2" width="71.6640625" customWidth="1"/>
    <col min="3" max="6" width="17.5546875" style="115" customWidth="1"/>
    <col min="7" max="7" width="43.5546875" customWidth="1"/>
  </cols>
  <sheetData>
    <row r="1" spans="1:7" ht="18" x14ac:dyDescent="0.35">
      <c r="A1" s="454" t="s">
        <v>471</v>
      </c>
      <c r="B1" s="455"/>
      <c r="C1" s="455"/>
      <c r="D1" s="455"/>
      <c r="E1" s="455"/>
      <c r="F1" s="455"/>
      <c r="G1" s="456"/>
    </row>
    <row r="2" spans="1:7" x14ac:dyDescent="0.3">
      <c r="A2" s="296" t="s">
        <v>472</v>
      </c>
      <c r="B2" s="14" t="s">
        <v>473</v>
      </c>
      <c r="C2" s="34" t="s">
        <v>474</v>
      </c>
      <c r="D2" s="14" t="s">
        <v>475</v>
      </c>
      <c r="E2" s="14" t="s">
        <v>476</v>
      </c>
      <c r="F2" s="14" t="s">
        <v>477</v>
      </c>
      <c r="G2" s="297" t="s">
        <v>478</v>
      </c>
    </row>
    <row r="3" spans="1:7" x14ac:dyDescent="0.3">
      <c r="A3" s="449" t="s">
        <v>479</v>
      </c>
      <c r="B3" s="224" t="s">
        <v>480</v>
      </c>
      <c r="C3" s="178">
        <v>11203</v>
      </c>
      <c r="D3" s="179"/>
      <c r="E3" s="121">
        <v>4047</v>
      </c>
      <c r="F3" s="121">
        <v>2067</v>
      </c>
      <c r="G3" s="298" t="s">
        <v>481</v>
      </c>
    </row>
    <row r="4" spans="1:7" x14ac:dyDescent="0.3">
      <c r="A4" s="449"/>
      <c r="B4" s="224" t="s">
        <v>482</v>
      </c>
      <c r="C4" s="178">
        <v>6542</v>
      </c>
      <c r="D4" s="179"/>
      <c r="E4" s="121">
        <v>0</v>
      </c>
      <c r="F4" s="121">
        <v>0</v>
      </c>
      <c r="G4" s="298"/>
    </row>
    <row r="5" spans="1:7" x14ac:dyDescent="0.3">
      <c r="A5" s="449"/>
      <c r="B5" s="224" t="s">
        <v>483</v>
      </c>
      <c r="C5" s="178">
        <v>8717</v>
      </c>
      <c r="D5" s="179"/>
      <c r="E5" s="121">
        <v>1268</v>
      </c>
      <c r="F5" s="121">
        <v>515</v>
      </c>
      <c r="G5" s="298"/>
    </row>
    <row r="6" spans="1:7" x14ac:dyDescent="0.3">
      <c r="A6" s="449"/>
      <c r="B6" s="224" t="s">
        <v>484</v>
      </c>
      <c r="C6" s="178">
        <v>4409</v>
      </c>
      <c r="D6" s="179"/>
      <c r="E6" s="121">
        <v>0</v>
      </c>
      <c r="F6" s="121">
        <v>0</v>
      </c>
      <c r="G6" s="298"/>
    </row>
    <row r="7" spans="1:7" x14ac:dyDescent="0.3">
      <c r="A7" s="449"/>
      <c r="B7" s="224" t="s">
        <v>485</v>
      </c>
      <c r="C7" s="180">
        <v>1287181</v>
      </c>
      <c r="D7" s="179"/>
      <c r="E7" s="121">
        <v>172896</v>
      </c>
      <c r="F7" s="121">
        <v>31181</v>
      </c>
      <c r="G7" s="298" t="s">
        <v>486</v>
      </c>
    </row>
    <row r="8" spans="1:7" x14ac:dyDescent="0.3">
      <c r="A8" s="449"/>
      <c r="B8" s="224" t="s">
        <v>487</v>
      </c>
      <c r="C8" s="180">
        <v>619466</v>
      </c>
      <c r="D8" s="179"/>
      <c r="E8" s="121">
        <v>0</v>
      </c>
      <c r="F8" s="121">
        <v>0</v>
      </c>
      <c r="G8" s="298"/>
    </row>
    <row r="9" spans="1:7" x14ac:dyDescent="0.3">
      <c r="A9" s="449"/>
      <c r="B9" s="224" t="s">
        <v>488</v>
      </c>
      <c r="C9" s="180">
        <v>47263</v>
      </c>
      <c r="D9" s="179"/>
      <c r="E9" s="121">
        <v>1939</v>
      </c>
      <c r="F9" s="121">
        <v>7771</v>
      </c>
      <c r="G9" s="298"/>
    </row>
    <row r="10" spans="1:7" x14ac:dyDescent="0.3">
      <c r="A10" s="449"/>
      <c r="B10" s="224" t="s">
        <v>489</v>
      </c>
      <c r="C10" s="180">
        <v>27079</v>
      </c>
      <c r="D10" s="179"/>
      <c r="E10" s="121">
        <v>0</v>
      </c>
      <c r="F10" s="121">
        <v>0</v>
      </c>
      <c r="G10" s="298"/>
    </row>
    <row r="11" spans="1:7" x14ac:dyDescent="0.3">
      <c r="A11" s="449"/>
      <c r="B11" s="224" t="s">
        <v>404</v>
      </c>
      <c r="C11" s="178">
        <v>1308</v>
      </c>
      <c r="D11" s="181"/>
      <c r="E11" s="121">
        <v>794</v>
      </c>
      <c r="F11" s="121">
        <v>308</v>
      </c>
      <c r="G11" s="298"/>
    </row>
    <row r="12" spans="1:7" x14ac:dyDescent="0.3">
      <c r="A12" s="449"/>
      <c r="B12" s="224" t="s">
        <v>490</v>
      </c>
      <c r="C12" s="178">
        <v>470</v>
      </c>
      <c r="D12" s="181"/>
      <c r="E12" s="121">
        <v>0</v>
      </c>
      <c r="F12" s="121">
        <v>0</v>
      </c>
      <c r="G12" s="298"/>
    </row>
    <row r="13" spans="1:7" x14ac:dyDescent="0.3">
      <c r="A13" s="449"/>
      <c r="B13" s="224" t="s">
        <v>405</v>
      </c>
      <c r="C13" s="178">
        <v>3002</v>
      </c>
      <c r="D13" s="181"/>
      <c r="E13" s="121">
        <v>1828</v>
      </c>
      <c r="F13" s="121">
        <v>1658</v>
      </c>
      <c r="G13" s="298"/>
    </row>
    <row r="14" spans="1:7" x14ac:dyDescent="0.3">
      <c r="A14" s="449"/>
      <c r="B14" s="224" t="s">
        <v>491</v>
      </c>
      <c r="C14" s="178">
        <v>1308</v>
      </c>
      <c r="D14" s="181"/>
      <c r="E14" s="121">
        <v>0</v>
      </c>
      <c r="F14" s="121">
        <v>0</v>
      </c>
      <c r="G14" s="298"/>
    </row>
    <row r="15" spans="1:7" x14ac:dyDescent="0.3">
      <c r="A15" s="449"/>
      <c r="B15" s="224" t="s">
        <v>492</v>
      </c>
      <c r="C15" s="178">
        <v>155</v>
      </c>
      <c r="D15" s="181"/>
      <c r="E15" s="121">
        <v>42</v>
      </c>
      <c r="F15" s="121">
        <v>13</v>
      </c>
      <c r="G15" s="298"/>
    </row>
    <row r="16" spans="1:7" x14ac:dyDescent="0.3">
      <c r="A16" s="449"/>
      <c r="B16" s="224" t="s">
        <v>493</v>
      </c>
      <c r="C16" s="182">
        <v>64</v>
      </c>
      <c r="D16" s="183"/>
      <c r="E16" s="182">
        <v>0</v>
      </c>
      <c r="F16" s="182">
        <v>0</v>
      </c>
      <c r="G16" s="299"/>
    </row>
    <row r="17" spans="1:7" x14ac:dyDescent="0.3">
      <c r="A17" s="457" t="s">
        <v>494</v>
      </c>
      <c r="B17" s="35" t="s">
        <v>480</v>
      </c>
      <c r="C17" s="181"/>
      <c r="D17" s="181"/>
      <c r="E17" s="181"/>
      <c r="F17" s="181"/>
      <c r="G17" s="299"/>
    </row>
    <row r="18" spans="1:7" x14ac:dyDescent="0.3">
      <c r="A18" s="458"/>
      <c r="B18" s="35" t="s">
        <v>482</v>
      </c>
      <c r="C18" s="181"/>
      <c r="D18" s="181"/>
      <c r="E18" s="181"/>
      <c r="F18" s="181"/>
      <c r="G18" s="299"/>
    </row>
    <row r="19" spans="1:7" x14ac:dyDescent="0.3">
      <c r="A19" s="458"/>
      <c r="B19" s="35" t="s">
        <v>483</v>
      </c>
      <c r="C19" s="181"/>
      <c r="D19" s="181"/>
      <c r="E19" s="181"/>
      <c r="F19" s="181"/>
      <c r="G19" s="299"/>
    </row>
    <row r="20" spans="1:7" x14ac:dyDescent="0.3">
      <c r="A20" s="458"/>
      <c r="B20" s="35" t="s">
        <v>484</v>
      </c>
      <c r="C20" s="181"/>
      <c r="D20" s="181"/>
      <c r="E20" s="181"/>
      <c r="F20" s="181"/>
      <c r="G20" s="299"/>
    </row>
    <row r="21" spans="1:7" x14ac:dyDescent="0.3">
      <c r="A21" s="458"/>
      <c r="B21" s="35" t="s">
        <v>485</v>
      </c>
      <c r="C21" s="181"/>
      <c r="D21" s="181"/>
      <c r="E21" s="181"/>
      <c r="F21" s="181"/>
      <c r="G21" s="299"/>
    </row>
    <row r="22" spans="1:7" x14ac:dyDescent="0.3">
      <c r="A22" s="458"/>
      <c r="B22" s="35" t="s">
        <v>487</v>
      </c>
      <c r="C22" s="181"/>
      <c r="D22" s="181"/>
      <c r="E22" s="181"/>
      <c r="F22" s="181"/>
      <c r="G22" s="299"/>
    </row>
    <row r="23" spans="1:7" x14ac:dyDescent="0.3">
      <c r="A23" s="458"/>
      <c r="B23" s="35" t="s">
        <v>488</v>
      </c>
      <c r="C23" s="181"/>
      <c r="D23" s="181"/>
      <c r="E23" s="181"/>
      <c r="F23" s="181"/>
      <c r="G23" s="299"/>
    </row>
    <row r="24" spans="1:7" x14ac:dyDescent="0.3">
      <c r="A24" s="458"/>
      <c r="B24" s="35" t="s">
        <v>489</v>
      </c>
      <c r="C24" s="181"/>
      <c r="D24" s="181"/>
      <c r="E24" s="181"/>
      <c r="F24" s="181"/>
      <c r="G24" s="299"/>
    </row>
    <row r="25" spans="1:7" x14ac:dyDescent="0.3">
      <c r="A25" s="458"/>
      <c r="B25" s="35" t="s">
        <v>404</v>
      </c>
      <c r="C25" s="181"/>
      <c r="D25" s="181"/>
      <c r="E25" s="181"/>
      <c r="F25" s="181"/>
      <c r="G25" s="299"/>
    </row>
    <row r="26" spans="1:7" x14ac:dyDescent="0.3">
      <c r="A26" s="458"/>
      <c r="B26" s="35" t="s">
        <v>490</v>
      </c>
      <c r="C26" s="181"/>
      <c r="D26" s="181"/>
      <c r="E26" s="181"/>
      <c r="F26" s="181"/>
      <c r="G26" s="299"/>
    </row>
    <row r="27" spans="1:7" x14ac:dyDescent="0.3">
      <c r="A27" s="458"/>
      <c r="B27" s="35" t="s">
        <v>405</v>
      </c>
      <c r="C27" s="181"/>
      <c r="D27" s="181"/>
      <c r="E27" s="181"/>
      <c r="F27" s="181"/>
      <c r="G27" s="299"/>
    </row>
    <row r="28" spans="1:7" x14ac:dyDescent="0.3">
      <c r="A28" s="458"/>
      <c r="B28" s="35" t="s">
        <v>491</v>
      </c>
      <c r="C28" s="181"/>
      <c r="D28" s="181"/>
      <c r="E28" s="181"/>
      <c r="F28" s="181"/>
      <c r="G28" s="299"/>
    </row>
    <row r="29" spans="1:7" x14ac:dyDescent="0.3">
      <c r="A29" s="459"/>
      <c r="B29" s="35" t="s">
        <v>492</v>
      </c>
      <c r="C29" s="181"/>
      <c r="D29" s="181"/>
      <c r="E29" s="181"/>
      <c r="F29" s="181"/>
      <c r="G29" s="299"/>
    </row>
    <row r="30" spans="1:7" hidden="1" x14ac:dyDescent="0.3">
      <c r="A30" s="300"/>
      <c r="B30" s="35" t="s">
        <v>493</v>
      </c>
      <c r="C30" s="184"/>
      <c r="D30" s="183"/>
      <c r="E30" s="184"/>
      <c r="F30" s="184"/>
      <c r="G30" s="299"/>
    </row>
    <row r="31" spans="1:7" s="20" customFormat="1" ht="6" customHeight="1" x14ac:dyDescent="0.3">
      <c r="A31" s="452"/>
      <c r="B31" s="453"/>
      <c r="C31" s="453"/>
      <c r="D31" s="453"/>
      <c r="E31" s="453"/>
      <c r="F31" s="453"/>
      <c r="G31" s="301"/>
    </row>
    <row r="32" spans="1:7" x14ac:dyDescent="0.3">
      <c r="A32" s="450" t="s">
        <v>495</v>
      </c>
      <c r="B32" s="224" t="s">
        <v>480</v>
      </c>
      <c r="C32" s="181"/>
      <c r="D32" s="181"/>
      <c r="E32" s="181"/>
      <c r="F32" s="181"/>
      <c r="G32" s="299"/>
    </row>
    <row r="33" spans="1:7" x14ac:dyDescent="0.3">
      <c r="A33" s="450"/>
      <c r="B33" s="224" t="s">
        <v>482</v>
      </c>
      <c r="C33" s="181"/>
      <c r="D33" s="181"/>
      <c r="E33" s="181"/>
      <c r="F33" s="181"/>
      <c r="G33" s="299"/>
    </row>
    <row r="34" spans="1:7" x14ac:dyDescent="0.3">
      <c r="A34" s="450"/>
      <c r="B34" s="224" t="s">
        <v>483</v>
      </c>
      <c r="C34" s="181"/>
      <c r="D34" s="181"/>
      <c r="E34" s="181"/>
      <c r="F34" s="181"/>
      <c r="G34" s="299"/>
    </row>
    <row r="35" spans="1:7" x14ac:dyDescent="0.3">
      <c r="A35" s="450"/>
      <c r="B35" s="224" t="s">
        <v>484</v>
      </c>
      <c r="C35" s="181"/>
      <c r="D35" s="181"/>
      <c r="E35" s="181"/>
      <c r="F35" s="181"/>
      <c r="G35" s="299"/>
    </row>
    <row r="36" spans="1:7" x14ac:dyDescent="0.3">
      <c r="A36" s="450"/>
      <c r="B36" s="224" t="s">
        <v>485</v>
      </c>
      <c r="C36" s="181"/>
      <c r="D36" s="181"/>
      <c r="E36" s="181"/>
      <c r="F36" s="181"/>
      <c r="G36" s="299"/>
    </row>
    <row r="37" spans="1:7" x14ac:dyDescent="0.3">
      <c r="A37" s="450"/>
      <c r="B37" s="224" t="s">
        <v>487</v>
      </c>
      <c r="C37" s="181"/>
      <c r="D37" s="181"/>
      <c r="E37" s="181"/>
      <c r="F37" s="181"/>
      <c r="G37" s="299"/>
    </row>
    <row r="38" spans="1:7" x14ac:dyDescent="0.3">
      <c r="A38" s="450"/>
      <c r="B38" s="224" t="s">
        <v>488</v>
      </c>
      <c r="C38" s="181"/>
      <c r="D38" s="181"/>
      <c r="E38" s="181"/>
      <c r="F38" s="181"/>
      <c r="G38" s="299"/>
    </row>
    <row r="39" spans="1:7" x14ac:dyDescent="0.3">
      <c r="A39" s="450"/>
      <c r="B39" s="224" t="s">
        <v>489</v>
      </c>
      <c r="C39" s="181"/>
      <c r="D39" s="181"/>
      <c r="E39" s="181"/>
      <c r="F39" s="181"/>
      <c r="G39" s="299"/>
    </row>
    <row r="40" spans="1:7" x14ac:dyDescent="0.3">
      <c r="A40" s="450"/>
      <c r="B40" s="224" t="s">
        <v>404</v>
      </c>
      <c r="C40" s="181"/>
      <c r="D40" s="181"/>
      <c r="E40" s="181"/>
      <c r="F40" s="181"/>
      <c r="G40" s="299"/>
    </row>
    <row r="41" spans="1:7" x14ac:dyDescent="0.3">
      <c r="A41" s="450"/>
      <c r="B41" s="224" t="s">
        <v>490</v>
      </c>
      <c r="C41" s="181"/>
      <c r="D41" s="181"/>
      <c r="E41" s="181"/>
      <c r="F41" s="181"/>
      <c r="G41" s="299"/>
    </row>
    <row r="42" spans="1:7" x14ac:dyDescent="0.3">
      <c r="A42" s="450"/>
      <c r="B42" s="224" t="s">
        <v>405</v>
      </c>
      <c r="C42" s="181"/>
      <c r="D42" s="181"/>
      <c r="E42" s="181"/>
      <c r="F42" s="181"/>
      <c r="G42" s="299"/>
    </row>
    <row r="43" spans="1:7" x14ac:dyDescent="0.3">
      <c r="A43" s="450"/>
      <c r="B43" s="224" t="s">
        <v>491</v>
      </c>
      <c r="C43" s="181"/>
      <c r="D43" s="181"/>
      <c r="E43" s="181"/>
      <c r="F43" s="181"/>
      <c r="G43" s="299"/>
    </row>
    <row r="44" spans="1:7" x14ac:dyDescent="0.3">
      <c r="A44" s="450"/>
      <c r="B44" s="224" t="s">
        <v>492</v>
      </c>
      <c r="C44" s="181"/>
      <c r="D44" s="181"/>
      <c r="E44" s="181"/>
      <c r="F44" s="181"/>
      <c r="G44" s="299"/>
    </row>
    <row r="45" spans="1:7" x14ac:dyDescent="0.3">
      <c r="A45" s="451"/>
      <c r="B45" s="302" t="s">
        <v>493</v>
      </c>
      <c r="C45" s="303"/>
      <c r="D45" s="303"/>
      <c r="E45" s="303"/>
      <c r="F45" s="303"/>
      <c r="G45" s="304"/>
    </row>
  </sheetData>
  <mergeCells count="5">
    <mergeCell ref="A3:A16"/>
    <mergeCell ref="A32:A45"/>
    <mergeCell ref="A31:F31"/>
    <mergeCell ref="A1:G1"/>
    <mergeCell ref="A17:A29"/>
  </mergeCells>
  <printOptions horizontalCentered="1"/>
  <pageMargins left="0.5" right="0.5" top="1" bottom="0.75" header="0" footer="0.5"/>
  <pageSetup paperSize="5" scale="82" orientation="landscape" horizontalDpi="1200" verticalDpi="1200" r:id="rId1"/>
  <headerFooter>
    <oddFooter>&amp;L&amp;ESDGE 2020 WMP - &amp;A&amp;C&amp;P&amp;R&amp;D</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50DD-8348-41EA-BFEF-519E6BA467BC}">
  <dimension ref="A1:D12"/>
  <sheetViews>
    <sheetView view="pageLayout" topLeftCell="B10" zoomScaleNormal="100" zoomScaleSheetLayoutView="91" workbookViewId="0">
      <selection activeCell="G10" sqref="G10"/>
    </sheetView>
  </sheetViews>
  <sheetFormatPr defaultRowHeight="14.4" x14ac:dyDescent="0.3"/>
  <cols>
    <col min="1" max="1" width="35.6640625" customWidth="1"/>
    <col min="2" max="2" width="9.5546875" customWidth="1"/>
    <col min="3" max="3" width="75.109375" customWidth="1"/>
    <col min="4" max="4" width="35.6640625" customWidth="1"/>
  </cols>
  <sheetData>
    <row r="1" spans="1:4" ht="18" x14ac:dyDescent="0.35">
      <c r="A1" s="417" t="s">
        <v>496</v>
      </c>
      <c r="B1" s="418"/>
      <c r="C1" s="418"/>
      <c r="D1" s="419"/>
    </row>
    <row r="2" spans="1:4" ht="28.8" x14ac:dyDescent="0.3">
      <c r="A2" s="296" t="s">
        <v>497</v>
      </c>
      <c r="B2" s="14" t="s">
        <v>498</v>
      </c>
      <c r="C2" s="14" t="s">
        <v>3</v>
      </c>
      <c r="D2" s="305" t="s">
        <v>33</v>
      </c>
    </row>
    <row r="3" spans="1:4" ht="31.2" customHeight="1" x14ac:dyDescent="0.3">
      <c r="A3" s="306" t="s">
        <v>499</v>
      </c>
      <c r="B3" s="121">
        <v>191</v>
      </c>
      <c r="C3" s="224" t="s">
        <v>500</v>
      </c>
      <c r="D3" s="307"/>
    </row>
    <row r="4" spans="1:4" ht="31.2" customHeight="1" x14ac:dyDescent="0.3">
      <c r="A4" s="308" t="s">
        <v>501</v>
      </c>
      <c r="B4" s="37">
        <v>2.3E-2</v>
      </c>
      <c r="C4" s="35" t="s">
        <v>502</v>
      </c>
      <c r="D4" s="309" t="s">
        <v>503</v>
      </c>
    </row>
    <row r="5" spans="1:4" ht="31.2" customHeight="1" x14ac:dyDescent="0.3">
      <c r="A5" s="308" t="s">
        <v>504</v>
      </c>
      <c r="B5" s="121">
        <v>25</v>
      </c>
      <c r="C5" s="224" t="s">
        <v>505</v>
      </c>
      <c r="D5" s="307"/>
    </row>
    <row r="6" spans="1:4" ht="31.2" customHeight="1" x14ac:dyDescent="0.3">
      <c r="A6" s="308" t="s">
        <v>506</v>
      </c>
      <c r="B6" s="37">
        <v>7.0000000000000001E-3</v>
      </c>
      <c r="C6" s="35" t="s">
        <v>507</v>
      </c>
      <c r="D6" s="309" t="s">
        <v>508</v>
      </c>
    </row>
    <row r="7" spans="1:4" ht="31.2" customHeight="1" x14ac:dyDescent="0.3">
      <c r="A7" s="308" t="s">
        <v>509</v>
      </c>
      <c r="B7" s="186"/>
      <c r="C7" s="224" t="s">
        <v>510</v>
      </c>
      <c r="D7" s="310"/>
    </row>
    <row r="8" spans="1:4" ht="31.2" customHeight="1" x14ac:dyDescent="0.3">
      <c r="A8" s="308" t="s">
        <v>511</v>
      </c>
      <c r="B8" s="186"/>
      <c r="C8" s="35" t="s">
        <v>512</v>
      </c>
      <c r="D8" s="310"/>
    </row>
    <row r="9" spans="1:4" ht="31.2" customHeight="1" x14ac:dyDescent="0.3">
      <c r="A9" s="308" t="s">
        <v>513</v>
      </c>
      <c r="B9" s="121">
        <v>64</v>
      </c>
      <c r="C9" s="224" t="s">
        <v>514</v>
      </c>
      <c r="D9" s="307"/>
    </row>
    <row r="10" spans="1:4" ht="31.2" customHeight="1" x14ac:dyDescent="0.3">
      <c r="A10" s="308" t="s">
        <v>515</v>
      </c>
      <c r="B10" s="37">
        <v>2.5000000000000001E-2</v>
      </c>
      <c r="C10" s="35" t="s">
        <v>516</v>
      </c>
      <c r="D10" s="309" t="s">
        <v>517</v>
      </c>
    </row>
    <row r="11" spans="1:4" ht="31.2" customHeight="1" x14ac:dyDescent="0.3">
      <c r="A11" s="308" t="s">
        <v>518</v>
      </c>
      <c r="B11" s="121">
        <v>102</v>
      </c>
      <c r="C11" s="224" t="s">
        <v>519</v>
      </c>
      <c r="D11" s="307"/>
    </row>
    <row r="12" spans="1:4" ht="31.2" customHeight="1" x14ac:dyDescent="0.3">
      <c r="A12" s="311" t="s">
        <v>520</v>
      </c>
      <c r="B12" s="312">
        <v>5.1999999999999998E-2</v>
      </c>
      <c r="C12" s="313" t="s">
        <v>521</v>
      </c>
      <c r="D12" s="314" t="s">
        <v>522</v>
      </c>
    </row>
  </sheetData>
  <mergeCells count="1">
    <mergeCell ref="A1:D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500C-1057-4BA6-8188-60296D9E4DFF}">
  <dimension ref="A1:D12"/>
  <sheetViews>
    <sheetView view="pageLayout" topLeftCell="A12" zoomScaleNormal="100" zoomScaleSheetLayoutView="89" workbookViewId="0">
      <selection activeCell="D19" sqref="D19"/>
    </sheetView>
  </sheetViews>
  <sheetFormatPr defaultRowHeight="14.4" x14ac:dyDescent="0.3"/>
  <cols>
    <col min="1" max="1" width="51.6640625" customWidth="1"/>
    <col min="3" max="3" width="76.33203125" customWidth="1"/>
    <col min="4" max="4" width="27.5546875" customWidth="1"/>
  </cols>
  <sheetData>
    <row r="1" spans="1:4" ht="18" x14ac:dyDescent="0.35">
      <c r="A1" s="206" t="s">
        <v>523</v>
      </c>
      <c r="B1" s="315"/>
      <c r="C1" s="315"/>
      <c r="D1" s="316"/>
    </row>
    <row r="2" spans="1:4" ht="27.6" x14ac:dyDescent="0.3">
      <c r="A2" s="227" t="s">
        <v>524</v>
      </c>
      <c r="B2" s="245" t="s">
        <v>498</v>
      </c>
      <c r="C2" s="245" t="s">
        <v>3</v>
      </c>
      <c r="D2" s="227" t="s">
        <v>33</v>
      </c>
    </row>
    <row r="3" spans="1:4" ht="27" customHeight="1" x14ac:dyDescent="0.3">
      <c r="A3" s="265" t="s">
        <v>525</v>
      </c>
      <c r="B3" s="187">
        <v>4735</v>
      </c>
      <c r="C3" s="6" t="s">
        <v>500</v>
      </c>
      <c r="D3" s="6"/>
    </row>
    <row r="4" spans="1:4" ht="27" customHeight="1" x14ac:dyDescent="0.3">
      <c r="A4" s="265" t="s">
        <v>526</v>
      </c>
      <c r="B4" s="188">
        <v>0.27500000000000002</v>
      </c>
      <c r="C4" s="19" t="s">
        <v>502</v>
      </c>
      <c r="D4" s="19"/>
    </row>
    <row r="5" spans="1:4" ht="27" customHeight="1" x14ac:dyDescent="0.3">
      <c r="A5" s="265" t="s">
        <v>527</v>
      </c>
      <c r="B5" s="187">
        <v>3817</v>
      </c>
      <c r="C5" s="6" t="s">
        <v>505</v>
      </c>
      <c r="D5" s="6"/>
    </row>
    <row r="6" spans="1:4" ht="27" customHeight="1" x14ac:dyDescent="0.3">
      <c r="A6" s="265" t="s">
        <v>528</v>
      </c>
      <c r="B6" s="102">
        <v>0.34399999999999997</v>
      </c>
      <c r="C6" s="36" t="s">
        <v>507</v>
      </c>
      <c r="D6" s="36"/>
    </row>
    <row r="7" spans="1:4" ht="27" customHeight="1" x14ac:dyDescent="0.3">
      <c r="A7" s="265" t="s">
        <v>529</v>
      </c>
      <c r="B7" s="189"/>
      <c r="C7" s="21" t="s">
        <v>510</v>
      </c>
      <c r="D7" s="317"/>
    </row>
    <row r="8" spans="1:4" ht="27" customHeight="1" x14ac:dyDescent="0.3">
      <c r="A8" s="265" t="s">
        <v>530</v>
      </c>
      <c r="B8" s="189"/>
      <c r="C8" s="36" t="s">
        <v>512</v>
      </c>
      <c r="D8" s="317"/>
    </row>
    <row r="9" spans="1:4" ht="27" customHeight="1" x14ac:dyDescent="0.3">
      <c r="A9" s="265" t="s">
        <v>531</v>
      </c>
      <c r="B9" s="190">
        <v>648</v>
      </c>
      <c r="C9" s="21" t="s">
        <v>514</v>
      </c>
      <c r="D9" s="21"/>
    </row>
    <row r="10" spans="1:4" ht="27" customHeight="1" x14ac:dyDescent="0.3">
      <c r="A10" s="265" t="s">
        <v>532</v>
      </c>
      <c r="B10" s="102">
        <v>0.16</v>
      </c>
      <c r="C10" s="36" t="s">
        <v>516</v>
      </c>
      <c r="D10" s="36"/>
    </row>
    <row r="11" spans="1:4" ht="27" customHeight="1" x14ac:dyDescent="0.3">
      <c r="A11" s="265" t="s">
        <v>533</v>
      </c>
      <c r="B11" s="190">
        <v>270</v>
      </c>
      <c r="C11" s="21" t="s">
        <v>519</v>
      </c>
      <c r="D11" s="21"/>
    </row>
    <row r="12" spans="1:4" ht="27" customHeight="1" x14ac:dyDescent="0.3">
      <c r="A12" s="265" t="s">
        <v>534</v>
      </c>
      <c r="B12" s="102">
        <v>0.13</v>
      </c>
      <c r="C12" s="36" t="s">
        <v>521</v>
      </c>
      <c r="D12" s="36"/>
    </row>
  </sheetData>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9EF6-480F-41F5-997F-EF387185FCC0}">
  <dimension ref="A1:F28"/>
  <sheetViews>
    <sheetView view="pageLayout" topLeftCell="A13" zoomScaleNormal="100" zoomScaleSheetLayoutView="100" workbookViewId="0">
      <selection activeCell="A4" sqref="A4:A11"/>
    </sheetView>
  </sheetViews>
  <sheetFormatPr defaultRowHeight="14.4" x14ac:dyDescent="0.3"/>
  <cols>
    <col min="1" max="1" width="19.109375" customWidth="1"/>
    <col min="2" max="2" width="56.33203125" customWidth="1"/>
    <col min="3" max="6" width="21.6640625" customWidth="1"/>
  </cols>
  <sheetData>
    <row r="1" spans="1:6" ht="18" x14ac:dyDescent="0.35">
      <c r="A1" s="23" t="s">
        <v>535</v>
      </c>
      <c r="B1" s="26"/>
      <c r="C1" s="26"/>
      <c r="D1" s="26"/>
      <c r="E1" s="26"/>
      <c r="F1" s="27"/>
    </row>
    <row r="2" spans="1:6" ht="15" customHeight="1" x14ac:dyDescent="0.3">
      <c r="A2" s="467" t="s">
        <v>472</v>
      </c>
      <c r="B2" s="469" t="s">
        <v>473</v>
      </c>
      <c r="C2" s="440" t="s">
        <v>536</v>
      </c>
      <c r="D2" s="441"/>
      <c r="E2" s="441"/>
      <c r="F2" s="460"/>
    </row>
    <row r="3" spans="1:6" ht="34.5" customHeight="1" x14ac:dyDescent="0.3">
      <c r="A3" s="468"/>
      <c r="B3" s="470"/>
      <c r="C3" s="219" t="s">
        <v>537</v>
      </c>
      <c r="D3" s="219" t="s">
        <v>475</v>
      </c>
      <c r="E3" s="219" t="s">
        <v>476</v>
      </c>
      <c r="F3" s="220" t="s">
        <v>477</v>
      </c>
    </row>
    <row r="4" spans="1:6" x14ac:dyDescent="0.3">
      <c r="A4" s="461" t="s">
        <v>176</v>
      </c>
      <c r="B4" s="6" t="s">
        <v>404</v>
      </c>
      <c r="C4" s="223">
        <v>0</v>
      </c>
      <c r="D4" s="185"/>
      <c r="E4" s="223">
        <v>59.1</v>
      </c>
      <c r="F4" s="124">
        <v>36</v>
      </c>
    </row>
    <row r="5" spans="1:6" x14ac:dyDescent="0.3">
      <c r="A5" s="462"/>
      <c r="B5" s="6" t="s">
        <v>405</v>
      </c>
      <c r="C5" s="223">
        <v>16.5</v>
      </c>
      <c r="D5" s="185"/>
      <c r="E5" s="223">
        <v>116.1</v>
      </c>
      <c r="F5" s="124">
        <v>242.4</v>
      </c>
    </row>
    <row r="6" spans="1:6" x14ac:dyDescent="0.3">
      <c r="A6" s="462"/>
      <c r="B6" s="6" t="s">
        <v>490</v>
      </c>
      <c r="C6" s="223">
        <v>0</v>
      </c>
      <c r="D6" s="185"/>
      <c r="E6" s="223">
        <v>0</v>
      </c>
      <c r="F6" s="124">
        <v>0</v>
      </c>
    </row>
    <row r="7" spans="1:6" x14ac:dyDescent="0.3">
      <c r="A7" s="462"/>
      <c r="B7" s="6" t="s">
        <v>491</v>
      </c>
      <c r="C7" s="223">
        <v>16.5</v>
      </c>
      <c r="D7" s="185"/>
      <c r="E7" s="223">
        <v>0</v>
      </c>
      <c r="F7" s="124">
        <v>0</v>
      </c>
    </row>
    <row r="8" spans="1:6" x14ac:dyDescent="0.3">
      <c r="A8" s="462"/>
      <c r="B8" s="6" t="s">
        <v>492</v>
      </c>
      <c r="C8" s="223">
        <v>0</v>
      </c>
      <c r="D8" s="185"/>
      <c r="E8" s="223">
        <v>0</v>
      </c>
      <c r="F8" s="149">
        <v>0</v>
      </c>
    </row>
    <row r="9" spans="1:6" x14ac:dyDescent="0.3">
      <c r="A9" s="462"/>
      <c r="B9" s="6" t="s">
        <v>493</v>
      </c>
      <c r="C9" s="223">
        <v>0</v>
      </c>
      <c r="D9" s="185"/>
      <c r="E9" s="223">
        <v>0</v>
      </c>
      <c r="F9" s="124">
        <v>0</v>
      </c>
    </row>
    <row r="10" spans="1:6" x14ac:dyDescent="0.3">
      <c r="A10" s="462"/>
      <c r="B10" s="6" t="s">
        <v>538</v>
      </c>
      <c r="C10" s="223">
        <v>59</v>
      </c>
      <c r="D10" s="185"/>
      <c r="E10" s="169">
        <v>64</v>
      </c>
      <c r="F10" s="170">
        <v>102</v>
      </c>
    </row>
    <row r="11" spans="1:6" x14ac:dyDescent="0.3">
      <c r="A11" s="463"/>
      <c r="B11" s="6" t="s">
        <v>539</v>
      </c>
      <c r="C11" s="223">
        <v>59</v>
      </c>
      <c r="D11" s="185"/>
      <c r="E11" s="169">
        <v>0</v>
      </c>
      <c r="F11" s="170">
        <v>0</v>
      </c>
    </row>
    <row r="12" spans="1:6" x14ac:dyDescent="0.3">
      <c r="A12" s="464" t="s">
        <v>494</v>
      </c>
      <c r="B12" s="4" t="s">
        <v>404</v>
      </c>
      <c r="C12" s="22"/>
      <c r="D12" s="22"/>
      <c r="E12" s="22"/>
      <c r="F12" s="22"/>
    </row>
    <row r="13" spans="1:6" x14ac:dyDescent="0.3">
      <c r="A13" s="465"/>
      <c r="B13" s="4" t="s">
        <v>405</v>
      </c>
      <c r="C13" s="22"/>
      <c r="D13" s="22"/>
      <c r="E13" s="22"/>
      <c r="F13" s="22"/>
    </row>
    <row r="14" spans="1:6" x14ac:dyDescent="0.3">
      <c r="A14" s="465"/>
      <c r="B14" s="4" t="s">
        <v>490</v>
      </c>
      <c r="C14" s="22"/>
      <c r="D14" s="22"/>
      <c r="E14" s="22"/>
      <c r="F14" s="22"/>
    </row>
    <row r="15" spans="1:6" x14ac:dyDescent="0.3">
      <c r="A15" s="465"/>
      <c r="B15" s="4" t="s">
        <v>491</v>
      </c>
      <c r="C15" s="22"/>
      <c r="D15" s="22"/>
      <c r="E15" s="22"/>
      <c r="F15" s="22"/>
    </row>
    <row r="16" spans="1:6" x14ac:dyDescent="0.3">
      <c r="A16" s="465"/>
      <c r="B16" s="4" t="s">
        <v>492</v>
      </c>
      <c r="C16" s="22"/>
      <c r="D16" s="22"/>
      <c r="E16" s="22"/>
      <c r="F16" s="22"/>
    </row>
    <row r="17" spans="1:6" x14ac:dyDescent="0.3">
      <c r="A17" s="465"/>
      <c r="B17" s="4" t="s">
        <v>493</v>
      </c>
      <c r="C17" s="22"/>
      <c r="D17" s="22"/>
      <c r="E17" s="22"/>
      <c r="F17" s="22"/>
    </row>
    <row r="18" spans="1:6" x14ac:dyDescent="0.3">
      <c r="A18" s="465"/>
      <c r="B18" s="4" t="s">
        <v>538</v>
      </c>
      <c r="C18" s="22"/>
      <c r="D18" s="22"/>
      <c r="E18" s="22"/>
      <c r="F18" s="22"/>
    </row>
    <row r="19" spans="1:6" x14ac:dyDescent="0.3">
      <c r="A19" s="471"/>
      <c r="B19" s="4" t="s">
        <v>539</v>
      </c>
      <c r="C19" s="22"/>
      <c r="D19" s="22"/>
      <c r="E19" s="22"/>
      <c r="F19" s="22"/>
    </row>
    <row r="20" spans="1:6" x14ac:dyDescent="0.3">
      <c r="A20" s="464" t="s">
        <v>495</v>
      </c>
      <c r="B20" s="21" t="s">
        <v>404</v>
      </c>
      <c r="C20" s="22"/>
      <c r="D20" s="22"/>
      <c r="E20" s="22"/>
      <c r="F20" s="22"/>
    </row>
    <row r="21" spans="1:6" x14ac:dyDescent="0.3">
      <c r="A21" s="465"/>
      <c r="B21" s="21" t="s">
        <v>405</v>
      </c>
      <c r="C21" s="22"/>
      <c r="D21" s="22"/>
      <c r="E21" s="22"/>
      <c r="F21" s="22"/>
    </row>
    <row r="22" spans="1:6" x14ac:dyDescent="0.3">
      <c r="A22" s="465"/>
      <c r="B22" s="21" t="s">
        <v>490</v>
      </c>
      <c r="C22" s="22"/>
      <c r="D22" s="22"/>
      <c r="E22" s="22"/>
      <c r="F22" s="22"/>
    </row>
    <row r="23" spans="1:6" x14ac:dyDescent="0.3">
      <c r="A23" s="465"/>
      <c r="B23" s="21" t="s">
        <v>491</v>
      </c>
      <c r="C23" s="22"/>
      <c r="D23" s="22"/>
      <c r="E23" s="22"/>
      <c r="F23" s="22"/>
    </row>
    <row r="24" spans="1:6" x14ac:dyDescent="0.3">
      <c r="A24" s="465"/>
      <c r="B24" s="21" t="s">
        <v>492</v>
      </c>
      <c r="C24" s="22"/>
      <c r="D24" s="22"/>
      <c r="E24" s="22"/>
      <c r="F24" s="22"/>
    </row>
    <row r="25" spans="1:6" x14ac:dyDescent="0.3">
      <c r="A25" s="465"/>
      <c r="B25" s="21" t="s">
        <v>493</v>
      </c>
      <c r="C25" s="22"/>
      <c r="D25" s="22"/>
      <c r="E25" s="22"/>
      <c r="F25" s="22"/>
    </row>
    <row r="26" spans="1:6" x14ac:dyDescent="0.3">
      <c r="A26" s="465"/>
      <c r="B26" s="21" t="s">
        <v>538</v>
      </c>
      <c r="C26" s="22"/>
      <c r="D26" s="22"/>
      <c r="E26" s="22"/>
      <c r="F26" s="22"/>
    </row>
    <row r="27" spans="1:6" ht="15" thickBot="1" x14ac:dyDescent="0.35">
      <c r="A27" s="466"/>
      <c r="B27" s="24" t="s">
        <v>539</v>
      </c>
      <c r="C27" s="25"/>
      <c r="D27" s="25"/>
      <c r="E27" s="25"/>
      <c r="F27" s="25"/>
    </row>
    <row r="28" spans="1:6" x14ac:dyDescent="0.3">
      <c r="A28" t="s">
        <v>540</v>
      </c>
    </row>
  </sheetData>
  <mergeCells count="6">
    <mergeCell ref="C2:F2"/>
    <mergeCell ref="A4:A11"/>
    <mergeCell ref="A20:A27"/>
    <mergeCell ref="A2:A3"/>
    <mergeCell ref="B2:B3"/>
    <mergeCell ref="A12:A19"/>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124D-9EDE-472D-8E9C-FDF2FC799870}">
  <dimension ref="A1:N27"/>
  <sheetViews>
    <sheetView zoomScaleNormal="100" zoomScaleSheetLayoutView="70" workbookViewId="0">
      <selection activeCell="E13" sqref="E13"/>
    </sheetView>
  </sheetViews>
  <sheetFormatPr defaultRowHeight="14.4" x14ac:dyDescent="0.3"/>
  <cols>
    <col min="1" max="1" width="11" customWidth="1"/>
    <col min="2" max="2" width="63.6640625" customWidth="1"/>
    <col min="3" max="14" width="7.44140625" customWidth="1"/>
  </cols>
  <sheetData>
    <row r="1" spans="1:14" ht="18" x14ac:dyDescent="0.35">
      <c r="A1" s="407" t="s">
        <v>541</v>
      </c>
      <c r="B1" s="408"/>
      <c r="C1" s="408"/>
      <c r="D1" s="408"/>
      <c r="E1" s="408"/>
      <c r="F1" s="408"/>
      <c r="G1" s="408"/>
      <c r="H1" s="408"/>
      <c r="I1" s="408"/>
      <c r="J1" s="408"/>
      <c r="K1" s="408"/>
      <c r="L1" s="408"/>
      <c r="M1" s="408"/>
      <c r="N1" s="409"/>
    </row>
    <row r="2" spans="1:14" ht="24" customHeight="1" x14ac:dyDescent="0.3">
      <c r="A2" s="405" t="s">
        <v>472</v>
      </c>
      <c r="B2" s="405" t="s">
        <v>473</v>
      </c>
      <c r="C2" s="405" t="s">
        <v>537</v>
      </c>
      <c r="D2" s="405"/>
      <c r="E2" s="405"/>
      <c r="F2" s="405" t="s">
        <v>475</v>
      </c>
      <c r="G2" s="405"/>
      <c r="H2" s="405"/>
      <c r="I2" s="405" t="s">
        <v>476</v>
      </c>
      <c r="J2" s="405"/>
      <c r="K2" s="405"/>
      <c r="L2" s="405" t="s">
        <v>477</v>
      </c>
      <c r="M2" s="405"/>
      <c r="N2" s="405"/>
    </row>
    <row r="3" spans="1:14" x14ac:dyDescent="0.3">
      <c r="A3" s="405"/>
      <c r="B3" s="405"/>
      <c r="C3" s="225">
        <v>2020</v>
      </c>
      <c r="D3" s="225">
        <v>2021</v>
      </c>
      <c r="E3" s="225">
        <v>2022</v>
      </c>
      <c r="F3" s="225">
        <v>2020</v>
      </c>
      <c r="G3" s="225">
        <v>2021</v>
      </c>
      <c r="H3" s="225">
        <v>2022</v>
      </c>
      <c r="I3" s="225">
        <v>2020</v>
      </c>
      <c r="J3" s="225">
        <v>2021</v>
      </c>
      <c r="K3" s="225">
        <v>2022</v>
      </c>
      <c r="L3" s="225">
        <v>2020</v>
      </c>
      <c r="M3" s="225">
        <v>2021</v>
      </c>
      <c r="N3" s="225">
        <v>2022</v>
      </c>
    </row>
    <row r="4" spans="1:14" x14ac:dyDescent="0.3">
      <c r="A4" s="475" t="s">
        <v>542</v>
      </c>
      <c r="B4" s="476"/>
      <c r="C4" s="360">
        <f>C6+C7+C8</f>
        <v>5.5</v>
      </c>
      <c r="D4" s="360">
        <f>D6+D7+D8</f>
        <v>5.5</v>
      </c>
      <c r="E4" s="360">
        <f>E6+E7+E8</f>
        <v>5.5</v>
      </c>
      <c r="F4" s="361"/>
      <c r="G4" s="361"/>
      <c r="H4" s="361"/>
      <c r="I4" s="360">
        <f t="shared" ref="I4:N4" si="0">I6+I7+I8</f>
        <v>72.5</v>
      </c>
      <c r="J4" s="360">
        <f t="shared" si="0"/>
        <v>54.9</v>
      </c>
      <c r="K4" s="360">
        <f t="shared" si="0"/>
        <v>47.8</v>
      </c>
      <c r="L4" s="360">
        <f t="shared" si="0"/>
        <v>162</v>
      </c>
      <c r="M4" s="360">
        <f t="shared" si="0"/>
        <v>66</v>
      </c>
      <c r="N4" s="360">
        <f t="shared" si="0"/>
        <v>50.4</v>
      </c>
    </row>
    <row r="5" spans="1:14" x14ac:dyDescent="0.3">
      <c r="A5" s="475" t="s">
        <v>543</v>
      </c>
      <c r="B5" s="476"/>
      <c r="C5" s="360">
        <v>0</v>
      </c>
      <c r="D5" s="360">
        <v>0</v>
      </c>
      <c r="E5" s="360">
        <v>0</v>
      </c>
      <c r="F5" s="361"/>
      <c r="G5" s="361"/>
      <c r="H5" s="361"/>
      <c r="I5" s="360">
        <v>0</v>
      </c>
      <c r="J5" s="360">
        <v>0</v>
      </c>
      <c r="K5" s="360">
        <v>0</v>
      </c>
      <c r="L5" s="360">
        <v>0</v>
      </c>
      <c r="M5" s="360">
        <v>0</v>
      </c>
      <c r="N5" s="360">
        <v>0</v>
      </c>
    </row>
    <row r="6" spans="1:14" ht="14.4" customHeight="1" x14ac:dyDescent="0.3">
      <c r="A6" s="477" t="s">
        <v>544</v>
      </c>
      <c r="B6" s="6" t="s">
        <v>545</v>
      </c>
      <c r="C6" s="360">
        <v>0</v>
      </c>
      <c r="D6" s="360">
        <v>0</v>
      </c>
      <c r="E6" s="360">
        <v>0</v>
      </c>
      <c r="F6" s="361"/>
      <c r="G6" s="361"/>
      <c r="H6" s="361"/>
      <c r="I6" s="360">
        <v>21.5</v>
      </c>
      <c r="J6" s="360">
        <v>23.4</v>
      </c>
      <c r="K6" s="360">
        <v>14.2</v>
      </c>
      <c r="L6" s="360">
        <v>29</v>
      </c>
      <c r="M6" s="360">
        <v>7</v>
      </c>
      <c r="N6" s="360">
        <v>0</v>
      </c>
    </row>
    <row r="7" spans="1:14" ht="14.4" customHeight="1" x14ac:dyDescent="0.3">
      <c r="A7" s="478"/>
      <c r="B7" s="6" t="s">
        <v>546</v>
      </c>
      <c r="C7" s="360">
        <v>0</v>
      </c>
      <c r="D7" s="360">
        <v>0</v>
      </c>
      <c r="E7" s="360">
        <v>0</v>
      </c>
      <c r="F7" s="361"/>
      <c r="G7" s="361"/>
      <c r="H7" s="361"/>
      <c r="I7" s="360">
        <v>0</v>
      </c>
      <c r="J7" s="360">
        <v>0</v>
      </c>
      <c r="K7" s="360">
        <v>0</v>
      </c>
      <c r="L7" s="360">
        <v>0</v>
      </c>
      <c r="M7" s="360">
        <v>0</v>
      </c>
      <c r="N7" s="360">
        <v>0</v>
      </c>
    </row>
    <row r="8" spans="1:14" ht="14.4" customHeight="1" x14ac:dyDescent="0.3">
      <c r="A8" s="478"/>
      <c r="B8" s="6" t="s">
        <v>547</v>
      </c>
      <c r="C8" s="360">
        <v>5.5</v>
      </c>
      <c r="D8" s="360">
        <v>5.5</v>
      </c>
      <c r="E8" s="360">
        <v>5.5</v>
      </c>
      <c r="F8" s="361"/>
      <c r="G8" s="361"/>
      <c r="H8" s="361"/>
      <c r="I8" s="360">
        <v>51</v>
      </c>
      <c r="J8" s="360">
        <v>31.5</v>
      </c>
      <c r="K8" s="360">
        <v>33.6</v>
      </c>
      <c r="L8" s="360">
        <v>133</v>
      </c>
      <c r="M8" s="360">
        <v>59</v>
      </c>
      <c r="N8" s="360">
        <v>50.4</v>
      </c>
    </row>
    <row r="9" spans="1:14" ht="14.4" customHeight="1" x14ac:dyDescent="0.3">
      <c r="A9" s="478"/>
      <c r="B9" s="6" t="s">
        <v>548</v>
      </c>
      <c r="C9" s="360">
        <v>5.5</v>
      </c>
      <c r="D9" s="360">
        <v>5.5</v>
      </c>
      <c r="E9" s="360">
        <v>5.5</v>
      </c>
      <c r="F9" s="361"/>
      <c r="G9" s="361"/>
      <c r="H9" s="361"/>
      <c r="I9" s="360">
        <v>0</v>
      </c>
      <c r="J9" s="360">
        <v>0</v>
      </c>
      <c r="K9" s="360">
        <v>0</v>
      </c>
      <c r="L9" s="360">
        <v>0</v>
      </c>
      <c r="M9" s="360">
        <v>0</v>
      </c>
      <c r="N9" s="360">
        <v>0</v>
      </c>
    </row>
    <row r="10" spans="1:14" ht="14.4" customHeight="1" x14ac:dyDescent="0.3">
      <c r="A10" s="478"/>
      <c r="B10" s="6" t="s">
        <v>546</v>
      </c>
      <c r="C10" s="360">
        <v>0</v>
      </c>
      <c r="D10" s="360">
        <v>0</v>
      </c>
      <c r="E10" s="360">
        <v>0</v>
      </c>
      <c r="F10" s="361"/>
      <c r="G10" s="361"/>
      <c r="H10" s="361"/>
      <c r="I10" s="360">
        <v>0</v>
      </c>
      <c r="J10" s="360">
        <v>0</v>
      </c>
      <c r="K10" s="360">
        <v>0</v>
      </c>
      <c r="L10" s="360">
        <v>0</v>
      </c>
      <c r="M10" s="360">
        <v>0</v>
      </c>
      <c r="N10" s="360">
        <v>0</v>
      </c>
    </row>
    <row r="11" spans="1:14" ht="14.4" customHeight="1" x14ac:dyDescent="0.3">
      <c r="A11" s="478"/>
      <c r="B11" s="6" t="s">
        <v>549</v>
      </c>
      <c r="C11" s="360">
        <v>0</v>
      </c>
      <c r="D11" s="360">
        <v>0</v>
      </c>
      <c r="E11" s="360">
        <v>0</v>
      </c>
      <c r="F11" s="361"/>
      <c r="G11" s="361"/>
      <c r="H11" s="361"/>
      <c r="I11" s="360">
        <v>0</v>
      </c>
      <c r="J11" s="360">
        <v>0</v>
      </c>
      <c r="K11" s="360">
        <v>0</v>
      </c>
      <c r="L11" s="360">
        <v>0</v>
      </c>
      <c r="M11" s="360">
        <v>0</v>
      </c>
      <c r="N11" s="360">
        <v>0</v>
      </c>
    </row>
    <row r="12" spans="1:14" ht="14.4" customHeight="1" x14ac:dyDescent="0.3">
      <c r="A12" s="479"/>
      <c r="B12" s="6" t="s">
        <v>550</v>
      </c>
      <c r="C12" s="360">
        <v>0</v>
      </c>
      <c r="D12" s="360">
        <v>0</v>
      </c>
      <c r="E12" s="360">
        <v>0</v>
      </c>
      <c r="F12" s="361"/>
      <c r="G12" s="361"/>
      <c r="H12" s="361"/>
      <c r="I12" s="360">
        <v>0</v>
      </c>
      <c r="J12" s="360">
        <v>0</v>
      </c>
      <c r="K12" s="360">
        <v>0</v>
      </c>
      <c r="L12" s="360">
        <v>0</v>
      </c>
      <c r="M12" s="360">
        <v>0</v>
      </c>
      <c r="N12" s="360">
        <v>0</v>
      </c>
    </row>
    <row r="13" spans="1:14" ht="14.4" customHeight="1" x14ac:dyDescent="0.3">
      <c r="A13" s="437" t="s">
        <v>494</v>
      </c>
      <c r="B13" s="19" t="s">
        <v>551</v>
      </c>
      <c r="C13" s="30"/>
      <c r="D13" s="30"/>
      <c r="E13" s="30"/>
      <c r="F13" s="30"/>
      <c r="G13" s="30"/>
      <c r="H13" s="30"/>
      <c r="I13" s="30"/>
      <c r="J13" s="30"/>
      <c r="K13" s="30"/>
      <c r="L13" s="30"/>
      <c r="M13" s="30"/>
      <c r="N13" s="30"/>
    </row>
    <row r="14" spans="1:14" ht="14.4" customHeight="1" x14ac:dyDescent="0.3">
      <c r="A14" s="438"/>
      <c r="B14" s="19" t="s">
        <v>546</v>
      </c>
      <c r="C14" s="30"/>
      <c r="D14" s="30"/>
      <c r="E14" s="30"/>
      <c r="F14" s="30"/>
      <c r="G14" s="30"/>
      <c r="H14" s="30"/>
      <c r="I14" s="30"/>
      <c r="J14" s="30"/>
      <c r="K14" s="30"/>
      <c r="L14" s="30"/>
      <c r="M14" s="30"/>
      <c r="N14" s="30"/>
    </row>
    <row r="15" spans="1:14" ht="14.4" customHeight="1" x14ac:dyDescent="0.3">
      <c r="A15" s="438"/>
      <c r="B15" s="19" t="s">
        <v>547</v>
      </c>
      <c r="C15" s="30"/>
      <c r="D15" s="30"/>
      <c r="E15" s="30"/>
      <c r="F15" s="30"/>
      <c r="G15" s="30"/>
      <c r="H15" s="30"/>
      <c r="I15" s="30"/>
      <c r="J15" s="30"/>
      <c r="K15" s="30"/>
      <c r="L15" s="30"/>
      <c r="M15" s="30"/>
      <c r="N15" s="30"/>
    </row>
    <row r="16" spans="1:14" ht="14.4" customHeight="1" x14ac:dyDescent="0.3">
      <c r="A16" s="438"/>
      <c r="B16" s="19" t="s">
        <v>548</v>
      </c>
      <c r="C16" s="30"/>
      <c r="D16" s="30"/>
      <c r="E16" s="30"/>
      <c r="F16" s="30"/>
      <c r="G16" s="30"/>
      <c r="H16" s="30"/>
      <c r="I16" s="30"/>
      <c r="J16" s="30"/>
      <c r="K16" s="30"/>
      <c r="L16" s="30"/>
      <c r="M16" s="30"/>
      <c r="N16" s="30"/>
    </row>
    <row r="17" spans="1:14" ht="14.4" customHeight="1" x14ac:dyDescent="0.3">
      <c r="A17" s="438"/>
      <c r="B17" s="19" t="s">
        <v>546</v>
      </c>
      <c r="C17" s="30"/>
      <c r="D17" s="30"/>
      <c r="E17" s="30"/>
      <c r="F17" s="30"/>
      <c r="G17" s="30"/>
      <c r="H17" s="30"/>
      <c r="I17" s="30"/>
      <c r="J17" s="30"/>
      <c r="K17" s="30"/>
      <c r="L17" s="30"/>
      <c r="M17" s="30"/>
      <c r="N17" s="30"/>
    </row>
    <row r="18" spans="1:14" ht="14.4" customHeight="1" x14ac:dyDescent="0.3">
      <c r="A18" s="438"/>
      <c r="B18" s="19" t="s">
        <v>549</v>
      </c>
      <c r="C18" s="30"/>
      <c r="D18" s="30"/>
      <c r="E18" s="30"/>
      <c r="F18" s="30"/>
      <c r="G18" s="30"/>
      <c r="H18" s="30"/>
      <c r="I18" s="30"/>
      <c r="J18" s="30"/>
      <c r="K18" s="30"/>
      <c r="L18" s="30"/>
      <c r="M18" s="30"/>
      <c r="N18" s="30"/>
    </row>
    <row r="19" spans="1:14" ht="14.4" customHeight="1" x14ac:dyDescent="0.3">
      <c r="A19" s="439"/>
      <c r="B19" s="19" t="s">
        <v>550</v>
      </c>
      <c r="C19" s="30"/>
      <c r="D19" s="30"/>
      <c r="E19" s="30"/>
      <c r="F19" s="30"/>
      <c r="G19" s="30"/>
      <c r="H19" s="30"/>
      <c r="I19" s="30"/>
      <c r="J19" s="30"/>
      <c r="K19" s="30"/>
      <c r="L19" s="30"/>
      <c r="M19" s="30"/>
      <c r="N19" s="30"/>
    </row>
    <row r="20" spans="1:14" ht="14.4" customHeight="1" x14ac:dyDescent="0.3">
      <c r="A20" s="480" t="s">
        <v>495</v>
      </c>
      <c r="B20" s="21" t="s">
        <v>551</v>
      </c>
      <c r="C20" s="30"/>
      <c r="D20" s="30"/>
      <c r="E20" s="30"/>
      <c r="F20" s="30"/>
      <c r="G20" s="30"/>
      <c r="H20" s="30"/>
      <c r="I20" s="30"/>
      <c r="J20" s="30"/>
      <c r="K20" s="30"/>
      <c r="L20" s="30"/>
      <c r="M20" s="30"/>
      <c r="N20" s="30"/>
    </row>
    <row r="21" spans="1:14" ht="14.4" customHeight="1" x14ac:dyDescent="0.3">
      <c r="A21" s="480"/>
      <c r="B21" s="21" t="s">
        <v>546</v>
      </c>
      <c r="C21" s="30"/>
      <c r="D21" s="30"/>
      <c r="E21" s="30"/>
      <c r="F21" s="30"/>
      <c r="G21" s="30"/>
      <c r="H21" s="30"/>
      <c r="I21" s="30"/>
      <c r="J21" s="30"/>
      <c r="K21" s="30"/>
      <c r="L21" s="30"/>
      <c r="M21" s="30"/>
      <c r="N21" s="30"/>
    </row>
    <row r="22" spans="1:14" ht="14.4" customHeight="1" x14ac:dyDescent="0.3">
      <c r="A22" s="480"/>
      <c r="B22" s="21" t="s">
        <v>547</v>
      </c>
      <c r="C22" s="30"/>
      <c r="D22" s="30"/>
      <c r="E22" s="30"/>
      <c r="F22" s="30"/>
      <c r="G22" s="30"/>
      <c r="H22" s="30"/>
      <c r="I22" s="30"/>
      <c r="J22" s="30"/>
      <c r="K22" s="30"/>
      <c r="L22" s="30"/>
      <c r="M22" s="30"/>
      <c r="N22" s="30"/>
    </row>
    <row r="23" spans="1:14" ht="14.4" customHeight="1" x14ac:dyDescent="0.3">
      <c r="A23" s="480"/>
      <c r="B23" s="21" t="s">
        <v>548</v>
      </c>
      <c r="C23" s="30"/>
      <c r="D23" s="30"/>
      <c r="E23" s="30"/>
      <c r="F23" s="30"/>
      <c r="G23" s="30"/>
      <c r="H23" s="30"/>
      <c r="I23" s="30"/>
      <c r="J23" s="30"/>
      <c r="K23" s="30"/>
      <c r="L23" s="30"/>
      <c r="M23" s="30"/>
      <c r="N23" s="30"/>
    </row>
    <row r="24" spans="1:14" ht="14.4" customHeight="1" x14ac:dyDescent="0.3">
      <c r="A24" s="480"/>
      <c r="B24" s="21" t="s">
        <v>546</v>
      </c>
      <c r="C24" s="30"/>
      <c r="D24" s="30"/>
      <c r="E24" s="30"/>
      <c r="F24" s="30"/>
      <c r="G24" s="30"/>
      <c r="H24" s="30"/>
      <c r="I24" s="30"/>
      <c r="J24" s="30"/>
      <c r="K24" s="30"/>
      <c r="L24" s="30"/>
      <c r="M24" s="30"/>
      <c r="N24" s="30"/>
    </row>
    <row r="25" spans="1:14" ht="14.4" customHeight="1" x14ac:dyDescent="0.3">
      <c r="A25" s="480"/>
      <c r="B25" s="21" t="s">
        <v>549</v>
      </c>
      <c r="C25" s="30"/>
      <c r="D25" s="30"/>
      <c r="E25" s="30"/>
      <c r="F25" s="30"/>
      <c r="G25" s="30"/>
      <c r="H25" s="30"/>
      <c r="I25" s="30"/>
      <c r="J25" s="30"/>
      <c r="K25" s="30"/>
      <c r="L25" s="30"/>
      <c r="M25" s="30"/>
      <c r="N25" s="30"/>
    </row>
    <row r="26" spans="1:14" ht="14.4" customHeight="1" thickBot="1" x14ac:dyDescent="0.35">
      <c r="A26" s="481"/>
      <c r="B26" s="24" t="s">
        <v>550</v>
      </c>
      <c r="C26" s="31"/>
      <c r="D26" s="31"/>
      <c r="E26" s="31"/>
      <c r="F26" s="31"/>
      <c r="G26" s="31"/>
      <c r="H26" s="31"/>
      <c r="I26" s="31"/>
      <c r="J26" s="31"/>
      <c r="K26" s="31"/>
      <c r="L26" s="31"/>
      <c r="M26" s="31"/>
      <c r="N26" s="31"/>
    </row>
    <row r="27" spans="1:14" x14ac:dyDescent="0.3">
      <c r="A27" s="472" t="s">
        <v>540</v>
      </c>
      <c r="B27" s="473"/>
      <c r="C27" s="473"/>
      <c r="D27" s="473"/>
      <c r="E27" s="473"/>
      <c r="F27" s="473"/>
      <c r="G27" s="473"/>
      <c r="H27" s="473"/>
      <c r="I27" s="473"/>
      <c r="J27" s="473"/>
      <c r="K27" s="473"/>
      <c r="L27" s="473"/>
      <c r="M27" s="473"/>
      <c r="N27" s="474"/>
    </row>
  </sheetData>
  <mergeCells count="13">
    <mergeCell ref="A1:N1"/>
    <mergeCell ref="L2:N2"/>
    <mergeCell ref="A2:A3"/>
    <mergeCell ref="B2:B3"/>
    <mergeCell ref="C2:E2"/>
    <mergeCell ref="F2:H2"/>
    <mergeCell ref="I2:K2"/>
    <mergeCell ref="A27:N27"/>
    <mergeCell ref="A4:B4"/>
    <mergeCell ref="A5:B5"/>
    <mergeCell ref="A6:A12"/>
    <mergeCell ref="A13:A19"/>
    <mergeCell ref="A20:A26"/>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74AA-88B5-4DB2-A376-D72C74651E25}">
  <dimension ref="A1:K47"/>
  <sheetViews>
    <sheetView view="pageLayout" topLeftCell="A40" zoomScaleNormal="85" zoomScaleSheetLayoutView="40" workbookViewId="0">
      <selection activeCell="D42" sqref="D42"/>
    </sheetView>
  </sheetViews>
  <sheetFormatPr defaultRowHeight="14.4" x14ac:dyDescent="0.3"/>
  <cols>
    <col min="1" max="1" width="15" customWidth="1"/>
    <col min="2" max="2" width="30.44140625" customWidth="1"/>
    <col min="3" max="3" width="24.33203125" customWidth="1"/>
    <col min="4" max="4" width="22.88671875" customWidth="1"/>
    <col min="11" max="11" width="11" customWidth="1"/>
  </cols>
  <sheetData>
    <row r="1" spans="1:11" ht="18" x14ac:dyDescent="0.35">
      <c r="A1" s="206" t="s">
        <v>552</v>
      </c>
      <c r="B1" s="315"/>
      <c r="C1" s="315"/>
      <c r="D1" s="315"/>
      <c r="E1" s="315"/>
      <c r="F1" s="315"/>
      <c r="G1" s="315"/>
      <c r="H1" s="315"/>
      <c r="I1" s="316"/>
    </row>
    <row r="2" spans="1:11" ht="15" customHeight="1" x14ac:dyDescent="0.3">
      <c r="A2" s="486" t="s">
        <v>553</v>
      </c>
      <c r="B2" s="487"/>
      <c r="C2" s="469" t="s">
        <v>554</v>
      </c>
      <c r="D2" s="469" t="s">
        <v>555</v>
      </c>
      <c r="E2" s="486" t="s">
        <v>556</v>
      </c>
      <c r="F2" s="493"/>
      <c r="G2" s="493"/>
      <c r="H2" s="493"/>
      <c r="I2" s="487"/>
    </row>
    <row r="3" spans="1:11" ht="18.75" customHeight="1" x14ac:dyDescent="0.3">
      <c r="A3" s="488"/>
      <c r="B3" s="489"/>
      <c r="C3" s="492"/>
      <c r="D3" s="492"/>
      <c r="E3" s="490"/>
      <c r="F3" s="494"/>
      <c r="G3" s="494"/>
      <c r="H3" s="494"/>
      <c r="I3" s="491"/>
    </row>
    <row r="4" spans="1:11" ht="15" customHeight="1" x14ac:dyDescent="0.3">
      <c r="A4" s="488"/>
      <c r="B4" s="489"/>
      <c r="C4" s="492"/>
      <c r="D4" s="492"/>
      <c r="E4" s="469" t="s">
        <v>287</v>
      </c>
      <c r="F4" s="469" t="s">
        <v>474</v>
      </c>
      <c r="G4" s="469" t="s">
        <v>475</v>
      </c>
      <c r="H4" s="469" t="s">
        <v>476</v>
      </c>
      <c r="I4" s="469" t="s">
        <v>477</v>
      </c>
    </row>
    <row r="5" spans="1:11" x14ac:dyDescent="0.3">
      <c r="A5" s="490"/>
      <c r="B5" s="491"/>
      <c r="C5" s="470"/>
      <c r="D5" s="470"/>
      <c r="E5" s="470"/>
      <c r="F5" s="470"/>
      <c r="G5" s="470"/>
      <c r="H5" s="470"/>
      <c r="I5" s="470"/>
    </row>
    <row r="6" spans="1:11" s="114" customFormat="1" ht="15.6" customHeight="1" x14ac:dyDescent="0.3">
      <c r="A6" s="405" t="s">
        <v>428</v>
      </c>
      <c r="B6" s="362" t="s">
        <v>429</v>
      </c>
      <c r="C6" s="177">
        <v>503.4</v>
      </c>
      <c r="D6" s="191">
        <f>E6/C6</f>
        <v>2.5427095748907433E-2</v>
      </c>
      <c r="E6" s="363">
        <v>12.8</v>
      </c>
      <c r="F6" s="364">
        <v>5.8</v>
      </c>
      <c r="G6" s="365"/>
      <c r="H6" s="366">
        <f>21/5</f>
        <v>4.2</v>
      </c>
      <c r="I6" s="366">
        <f>14/5</f>
        <v>2.8</v>
      </c>
      <c r="J6" s="114" t="s">
        <v>557</v>
      </c>
    </row>
    <row r="7" spans="1:11" s="114" customFormat="1" ht="15.6" customHeight="1" x14ac:dyDescent="0.3">
      <c r="A7" s="405"/>
      <c r="B7" s="362" t="s">
        <v>431</v>
      </c>
      <c r="C7" s="177">
        <v>83.8</v>
      </c>
      <c r="D7" s="191">
        <f t="shared" ref="D7:D22" si="0">E7/C7</f>
        <v>1.1933174224343675E-2</v>
      </c>
      <c r="E7" s="363">
        <v>1</v>
      </c>
      <c r="F7" s="364">
        <v>0.4</v>
      </c>
      <c r="G7" s="365"/>
      <c r="H7" s="366">
        <v>0.4</v>
      </c>
      <c r="I7" s="366">
        <v>0.2</v>
      </c>
    </row>
    <row r="8" spans="1:11" s="114" customFormat="1" ht="15.6" customHeight="1" x14ac:dyDescent="0.3">
      <c r="A8" s="405"/>
      <c r="B8" s="362" t="s">
        <v>432</v>
      </c>
      <c r="C8" s="177">
        <v>96.2</v>
      </c>
      <c r="D8" s="191">
        <f t="shared" si="0"/>
        <v>3.7422037422037424E-2</v>
      </c>
      <c r="E8" s="363">
        <v>3.6</v>
      </c>
      <c r="F8" s="364">
        <v>2.2000000000000002</v>
      </c>
      <c r="G8" s="365"/>
      <c r="H8" s="366">
        <v>0.6</v>
      </c>
      <c r="I8" s="366">
        <v>0.8</v>
      </c>
    </row>
    <row r="9" spans="1:11" s="114" customFormat="1" ht="15.6" customHeight="1" x14ac:dyDescent="0.3">
      <c r="A9" s="405"/>
      <c r="B9" s="362" t="s">
        <v>558</v>
      </c>
      <c r="C9" s="192">
        <v>40</v>
      </c>
      <c r="D9" s="191">
        <f t="shared" si="0"/>
        <v>8.4999999999999992E-2</v>
      </c>
      <c r="E9" s="363">
        <v>3.4</v>
      </c>
      <c r="F9" s="364">
        <v>1.4</v>
      </c>
      <c r="G9" s="365"/>
      <c r="H9" s="366">
        <v>1</v>
      </c>
      <c r="I9" s="366">
        <v>1</v>
      </c>
    </row>
    <row r="10" spans="1:11" s="114" customFormat="1" ht="15.6" customHeight="1" x14ac:dyDescent="0.3">
      <c r="A10" s="405"/>
      <c r="B10" s="362" t="s">
        <v>434</v>
      </c>
      <c r="C10" s="192">
        <v>210.8</v>
      </c>
      <c r="D10" s="191">
        <f t="shared" si="0"/>
        <v>1.6129032258064516E-2</v>
      </c>
      <c r="E10" s="363">
        <v>3.4</v>
      </c>
      <c r="F10" s="364">
        <v>1.2</v>
      </c>
      <c r="G10" s="365"/>
      <c r="H10" s="366">
        <v>1.6</v>
      </c>
      <c r="I10" s="366">
        <v>0.6</v>
      </c>
    </row>
    <row r="11" spans="1:11" s="114" customFormat="1" ht="15.6" customHeight="1" x14ac:dyDescent="0.3">
      <c r="A11" s="405"/>
      <c r="B11" s="362" t="s">
        <v>296</v>
      </c>
      <c r="C11" s="177">
        <v>72.599999999999994</v>
      </c>
      <c r="D11" s="191">
        <f t="shared" si="0"/>
        <v>1.928374655647383E-2</v>
      </c>
      <c r="E11" s="363">
        <v>1.4</v>
      </c>
      <c r="F11" s="364">
        <v>0.6</v>
      </c>
      <c r="G11" s="365"/>
      <c r="H11" s="366">
        <v>0.6</v>
      </c>
      <c r="I11" s="366">
        <v>0.2</v>
      </c>
    </row>
    <row r="12" spans="1:11" s="114" customFormat="1" ht="15.6" customHeight="1" x14ac:dyDescent="0.3">
      <c r="A12" s="469" t="s">
        <v>435</v>
      </c>
      <c r="B12" s="367" t="s">
        <v>436</v>
      </c>
      <c r="C12" s="174">
        <v>1116.4000000000001</v>
      </c>
      <c r="D12" s="368">
        <f t="shared" si="0"/>
        <v>7.1658903618774623E-3</v>
      </c>
      <c r="E12" s="376">
        <v>8</v>
      </c>
      <c r="F12" s="369">
        <v>3</v>
      </c>
      <c r="G12" s="365"/>
      <c r="H12" s="370">
        <v>2.4</v>
      </c>
      <c r="I12" s="370">
        <v>2.6</v>
      </c>
      <c r="K12" s="138"/>
    </row>
    <row r="13" spans="1:11" s="114" customFormat="1" ht="15.6" customHeight="1" x14ac:dyDescent="0.3">
      <c r="A13" s="492"/>
      <c r="B13" s="367" t="s">
        <v>437</v>
      </c>
      <c r="C13" s="174">
        <v>10.4</v>
      </c>
      <c r="D13" s="368">
        <f t="shared" si="0"/>
        <v>1.9230769230769232E-2</v>
      </c>
      <c r="E13" s="373">
        <v>0.2</v>
      </c>
      <c r="F13" s="369">
        <v>0</v>
      </c>
      <c r="G13" s="365"/>
      <c r="H13" s="370">
        <v>0.2</v>
      </c>
      <c r="I13" s="370">
        <v>0</v>
      </c>
    </row>
    <row r="14" spans="1:11" s="114" customFormat="1" ht="15.6" customHeight="1" x14ac:dyDescent="0.3">
      <c r="A14" s="492"/>
      <c r="B14" s="367" t="s">
        <v>559</v>
      </c>
      <c r="C14" s="174">
        <v>40.799999999999997</v>
      </c>
      <c r="D14" s="368">
        <f t="shared" si="0"/>
        <v>4.4117647058823532E-2</v>
      </c>
      <c r="E14" s="373">
        <v>1.8</v>
      </c>
      <c r="F14" s="369">
        <v>0.6</v>
      </c>
      <c r="G14" s="365"/>
      <c r="H14" s="370">
        <v>0.6</v>
      </c>
      <c r="I14" s="370">
        <v>0.6</v>
      </c>
    </row>
    <row r="15" spans="1:11" s="114" customFormat="1" ht="15.6" customHeight="1" x14ac:dyDescent="0.3">
      <c r="A15" s="492"/>
      <c r="B15" s="367" t="s">
        <v>560</v>
      </c>
      <c r="C15" s="174">
        <v>39.6</v>
      </c>
      <c r="D15" s="368">
        <f t="shared" si="0"/>
        <v>4.5454545454545456E-2</v>
      </c>
      <c r="E15" s="373">
        <v>1.8</v>
      </c>
      <c r="F15" s="369">
        <v>0.6</v>
      </c>
      <c r="G15" s="365"/>
      <c r="H15" s="370">
        <v>0.6</v>
      </c>
      <c r="I15" s="370">
        <v>0.6</v>
      </c>
    </row>
    <row r="16" spans="1:11" s="114" customFormat="1" ht="15.6" customHeight="1" x14ac:dyDescent="0.3">
      <c r="A16" s="492"/>
      <c r="B16" s="367" t="s">
        <v>561</v>
      </c>
      <c r="C16" s="174">
        <v>18.2</v>
      </c>
      <c r="D16" s="368">
        <f t="shared" si="0"/>
        <v>2.197802197802198E-2</v>
      </c>
      <c r="E16" s="371">
        <v>0.4</v>
      </c>
      <c r="F16" s="369">
        <v>0.2</v>
      </c>
      <c r="G16" s="365"/>
      <c r="H16" s="370">
        <v>0</v>
      </c>
      <c r="I16" s="370">
        <v>0.2</v>
      </c>
    </row>
    <row r="17" spans="1:9" s="114" customFormat="1" ht="25.95" customHeight="1" x14ac:dyDescent="0.3">
      <c r="A17" s="492"/>
      <c r="B17" s="367" t="s">
        <v>562</v>
      </c>
      <c r="C17" s="372">
        <v>577.4</v>
      </c>
      <c r="D17" s="368">
        <f t="shared" si="0"/>
        <v>6.9276065119501214E-4</v>
      </c>
      <c r="E17" s="373">
        <v>0.4</v>
      </c>
      <c r="F17" s="369">
        <v>0.2</v>
      </c>
      <c r="G17" s="365"/>
      <c r="H17" s="370">
        <v>0</v>
      </c>
      <c r="I17" s="370">
        <v>0.2</v>
      </c>
    </row>
    <row r="18" spans="1:9" s="114" customFormat="1" ht="15.6" customHeight="1" x14ac:dyDescent="0.3">
      <c r="A18" s="492"/>
      <c r="B18" s="367" t="s">
        <v>442</v>
      </c>
      <c r="C18" s="174">
        <v>22.8</v>
      </c>
      <c r="D18" s="368">
        <f t="shared" si="0"/>
        <v>2.6315789473684209E-2</v>
      </c>
      <c r="E18" s="373">
        <v>0.6</v>
      </c>
      <c r="F18" s="369">
        <v>0</v>
      </c>
      <c r="G18" s="365"/>
      <c r="H18" s="370">
        <v>0.2</v>
      </c>
      <c r="I18" s="370">
        <v>0.4</v>
      </c>
    </row>
    <row r="19" spans="1:9" s="114" customFormat="1" ht="15.6" customHeight="1" x14ac:dyDescent="0.3">
      <c r="A19" s="492"/>
      <c r="B19" s="374" t="s">
        <v>563</v>
      </c>
      <c r="C19" s="373">
        <v>33.200000000000003</v>
      </c>
      <c r="D19" s="368">
        <f t="shared" si="0"/>
        <v>4.2168674698795178E-2</v>
      </c>
      <c r="E19" s="373">
        <v>1.4</v>
      </c>
      <c r="F19" s="369">
        <v>0.8</v>
      </c>
      <c r="G19" s="365"/>
      <c r="H19" s="370">
        <v>0.2</v>
      </c>
      <c r="I19" s="370">
        <v>0.4</v>
      </c>
    </row>
    <row r="20" spans="1:9" s="114" customFormat="1" ht="15.6" customHeight="1" x14ac:dyDescent="0.3">
      <c r="A20" s="492"/>
      <c r="B20" s="374" t="s">
        <v>444</v>
      </c>
      <c r="C20" s="174">
        <v>19</v>
      </c>
      <c r="D20" s="368">
        <f t="shared" si="0"/>
        <v>3.1578947368421054E-2</v>
      </c>
      <c r="E20" s="373">
        <v>0.6</v>
      </c>
      <c r="F20" s="369">
        <v>0</v>
      </c>
      <c r="G20" s="365"/>
      <c r="H20" s="370">
        <v>0.4</v>
      </c>
      <c r="I20" s="370">
        <v>0.2</v>
      </c>
    </row>
    <row r="21" spans="1:9" s="114" customFormat="1" ht="15.6" customHeight="1" x14ac:dyDescent="0.3">
      <c r="A21" s="470"/>
      <c r="B21" s="374" t="s">
        <v>445</v>
      </c>
      <c r="C21" s="373">
        <v>251.8</v>
      </c>
      <c r="D21" s="368">
        <f t="shared" si="0"/>
        <v>3.177124702144559E-3</v>
      </c>
      <c r="E21" s="373">
        <v>0.8</v>
      </c>
      <c r="F21" s="369">
        <v>0.2</v>
      </c>
      <c r="G21" s="365"/>
      <c r="H21" s="370">
        <v>0.2</v>
      </c>
      <c r="I21" s="370">
        <v>0.4</v>
      </c>
    </row>
    <row r="22" spans="1:9" s="114" customFormat="1" ht="17.399999999999999" customHeight="1" x14ac:dyDescent="0.3">
      <c r="A22" s="482" t="s">
        <v>446</v>
      </c>
      <c r="B22" s="482"/>
      <c r="C22" s="360">
        <v>15.6</v>
      </c>
      <c r="D22" s="191">
        <f t="shared" si="0"/>
        <v>3.8461538461538464E-2</v>
      </c>
      <c r="E22" s="174">
        <v>0.6</v>
      </c>
      <c r="F22" s="375">
        <v>0.4</v>
      </c>
      <c r="G22" s="365"/>
      <c r="H22" s="366">
        <v>0.2</v>
      </c>
      <c r="I22" s="366">
        <v>0</v>
      </c>
    </row>
    <row r="23" spans="1:9" ht="17.399999999999999" customHeight="1" x14ac:dyDescent="0.3">
      <c r="A23" s="482" t="s">
        <v>296</v>
      </c>
      <c r="B23" s="482"/>
      <c r="C23" s="373" t="s">
        <v>26</v>
      </c>
      <c r="D23" s="174" t="s">
        <v>26</v>
      </c>
      <c r="E23" s="371">
        <v>0.4</v>
      </c>
      <c r="F23" s="369">
        <v>0.4</v>
      </c>
      <c r="G23" s="365"/>
      <c r="H23" s="370">
        <v>0</v>
      </c>
      <c r="I23" s="370">
        <v>0</v>
      </c>
    </row>
    <row r="24" spans="1:9" x14ac:dyDescent="0.3">
      <c r="A24" s="495" t="s">
        <v>564</v>
      </c>
      <c r="B24" s="495"/>
      <c r="C24" s="495"/>
      <c r="D24" s="495"/>
      <c r="E24" s="495"/>
      <c r="F24" s="495"/>
      <c r="G24" s="495"/>
      <c r="H24" s="495"/>
      <c r="I24" s="495"/>
    </row>
    <row r="25" spans="1:9" ht="18" x14ac:dyDescent="0.35">
      <c r="A25" s="206" t="s">
        <v>565</v>
      </c>
      <c r="B25" s="315"/>
      <c r="C25" s="315"/>
      <c r="D25" s="315"/>
      <c r="E25" s="315"/>
      <c r="F25" s="315"/>
      <c r="G25" s="315"/>
      <c r="H25" s="315"/>
      <c r="I25" s="316"/>
    </row>
    <row r="26" spans="1:9" x14ac:dyDescent="0.3">
      <c r="A26" s="486" t="s">
        <v>553</v>
      </c>
      <c r="B26" s="487"/>
      <c r="C26" s="469" t="s">
        <v>554</v>
      </c>
      <c r="D26" s="469" t="s">
        <v>555</v>
      </c>
      <c r="E26" s="486" t="s">
        <v>556</v>
      </c>
      <c r="F26" s="493"/>
      <c r="G26" s="493"/>
      <c r="H26" s="493"/>
      <c r="I26" s="487"/>
    </row>
    <row r="27" spans="1:9" x14ac:dyDescent="0.3">
      <c r="A27" s="488"/>
      <c r="B27" s="489"/>
      <c r="C27" s="492"/>
      <c r="D27" s="492"/>
      <c r="E27" s="490"/>
      <c r="F27" s="494"/>
      <c r="G27" s="494"/>
      <c r="H27" s="494"/>
      <c r="I27" s="491"/>
    </row>
    <row r="28" spans="1:9" x14ac:dyDescent="0.3">
      <c r="A28" s="488"/>
      <c r="B28" s="489"/>
      <c r="C28" s="492"/>
      <c r="D28" s="492"/>
      <c r="E28" s="469" t="s">
        <v>287</v>
      </c>
      <c r="F28" s="469" t="s">
        <v>474</v>
      </c>
      <c r="G28" s="469" t="s">
        <v>475</v>
      </c>
      <c r="H28" s="469" t="s">
        <v>476</v>
      </c>
      <c r="I28" s="469" t="s">
        <v>477</v>
      </c>
    </row>
    <row r="29" spans="1:9" x14ac:dyDescent="0.3">
      <c r="A29" s="490"/>
      <c r="B29" s="491"/>
      <c r="C29" s="470"/>
      <c r="D29" s="470"/>
      <c r="E29" s="470"/>
      <c r="F29" s="470"/>
      <c r="G29" s="470"/>
      <c r="H29" s="470"/>
      <c r="I29" s="470"/>
    </row>
    <row r="30" spans="1:9" ht="15.6" customHeight="1" x14ac:dyDescent="0.3">
      <c r="A30" s="482" t="s">
        <v>428</v>
      </c>
      <c r="B30" s="362" t="s">
        <v>429</v>
      </c>
      <c r="C30" s="177">
        <v>30.6</v>
      </c>
      <c r="D30" s="191">
        <f>E30/C30</f>
        <v>7.8431372549019607E-2</v>
      </c>
      <c r="E30" s="363">
        <v>2.4</v>
      </c>
      <c r="F30" s="364">
        <f>6/5</f>
        <v>1.2</v>
      </c>
      <c r="G30" s="365"/>
      <c r="H30" s="366">
        <f>8/5</f>
        <v>1.6</v>
      </c>
      <c r="I30" s="366">
        <v>0.2</v>
      </c>
    </row>
    <row r="31" spans="1:9" ht="15.6" customHeight="1" x14ac:dyDescent="0.3">
      <c r="A31" s="482"/>
      <c r="B31" s="362" t="s">
        <v>431</v>
      </c>
      <c r="C31" s="177">
        <v>6.8</v>
      </c>
      <c r="D31" s="191">
        <f t="shared" ref="D31:D47" si="1">E31/C31</f>
        <v>0.11764705882352942</v>
      </c>
      <c r="E31" s="363">
        <v>0.8</v>
      </c>
      <c r="F31" s="364">
        <v>0.4</v>
      </c>
      <c r="G31" s="365"/>
      <c r="H31" s="366">
        <v>0.4</v>
      </c>
      <c r="I31" s="366">
        <v>0</v>
      </c>
    </row>
    <row r="32" spans="1:9" ht="15.6" customHeight="1" x14ac:dyDescent="0.3">
      <c r="A32" s="482"/>
      <c r="B32" s="362" t="s">
        <v>432</v>
      </c>
      <c r="C32" s="177">
        <v>20.2</v>
      </c>
      <c r="D32" s="191">
        <f t="shared" si="1"/>
        <v>2.9702970297029702E-2</v>
      </c>
      <c r="E32" s="363">
        <v>0.6</v>
      </c>
      <c r="F32" s="364">
        <v>0.2</v>
      </c>
      <c r="G32" s="365"/>
      <c r="H32" s="366">
        <v>0.4</v>
      </c>
      <c r="I32" s="366">
        <v>0</v>
      </c>
    </row>
    <row r="33" spans="1:9" ht="15.6" customHeight="1" x14ac:dyDescent="0.3">
      <c r="A33" s="482"/>
      <c r="B33" s="362" t="s">
        <v>558</v>
      </c>
      <c r="C33" s="192">
        <v>0.4</v>
      </c>
      <c r="D33" s="191">
        <f t="shared" si="1"/>
        <v>0</v>
      </c>
      <c r="E33" s="363">
        <v>0</v>
      </c>
      <c r="F33" s="364">
        <v>0</v>
      </c>
      <c r="G33" s="365"/>
      <c r="H33" s="366">
        <v>0</v>
      </c>
      <c r="I33" s="366">
        <v>0</v>
      </c>
    </row>
    <row r="34" spans="1:9" ht="15.6" customHeight="1" x14ac:dyDescent="0.3">
      <c r="A34" s="482"/>
      <c r="B34" s="362" t="s">
        <v>434</v>
      </c>
      <c r="C34" s="192">
        <v>2</v>
      </c>
      <c r="D34" s="191">
        <f t="shared" si="1"/>
        <v>0.3</v>
      </c>
      <c r="E34" s="363">
        <v>0.6</v>
      </c>
      <c r="F34" s="364">
        <v>0.4</v>
      </c>
      <c r="G34" s="365"/>
      <c r="H34" s="366">
        <v>0</v>
      </c>
      <c r="I34" s="366">
        <v>0.2</v>
      </c>
    </row>
    <row r="35" spans="1:9" ht="15.6" customHeight="1" x14ac:dyDescent="0.3">
      <c r="A35" s="482"/>
      <c r="B35" s="362" t="s">
        <v>296</v>
      </c>
      <c r="C35" s="177">
        <v>1.2</v>
      </c>
      <c r="D35" s="191">
        <f t="shared" si="1"/>
        <v>0.33333333333333337</v>
      </c>
      <c r="E35" s="363">
        <v>0.4</v>
      </c>
      <c r="F35" s="364">
        <v>0</v>
      </c>
      <c r="G35" s="365"/>
      <c r="H35" s="366">
        <v>0.4</v>
      </c>
      <c r="I35" s="366">
        <v>0</v>
      </c>
    </row>
    <row r="36" spans="1:9" ht="15.6" customHeight="1" x14ac:dyDescent="0.3">
      <c r="A36" s="483" t="s">
        <v>435</v>
      </c>
      <c r="B36" s="367" t="s">
        <v>436</v>
      </c>
      <c r="C36" s="174">
        <v>29</v>
      </c>
      <c r="D36" s="191">
        <f t="shared" si="1"/>
        <v>6.8965517241379318E-3</v>
      </c>
      <c r="E36" s="371">
        <v>0.2</v>
      </c>
      <c r="F36" s="370">
        <v>0</v>
      </c>
      <c r="G36" s="365"/>
      <c r="H36" s="370">
        <v>0</v>
      </c>
      <c r="I36" s="370">
        <v>0</v>
      </c>
    </row>
    <row r="37" spans="1:9" ht="15.6" customHeight="1" x14ac:dyDescent="0.3">
      <c r="A37" s="484"/>
      <c r="B37" s="367" t="s">
        <v>437</v>
      </c>
      <c r="C37" s="174">
        <v>0</v>
      </c>
      <c r="D37" s="191">
        <v>0</v>
      </c>
      <c r="E37" s="371">
        <v>0</v>
      </c>
      <c r="F37" s="370">
        <v>0</v>
      </c>
      <c r="G37" s="365"/>
      <c r="H37" s="370">
        <v>0</v>
      </c>
      <c r="I37" s="370">
        <v>0</v>
      </c>
    </row>
    <row r="38" spans="1:9" ht="15.6" customHeight="1" x14ac:dyDescent="0.3">
      <c r="A38" s="484"/>
      <c r="B38" s="367" t="s">
        <v>559</v>
      </c>
      <c r="C38" s="174">
        <v>2</v>
      </c>
      <c r="D38" s="191">
        <f t="shared" si="1"/>
        <v>0</v>
      </c>
      <c r="E38" s="371">
        <v>0</v>
      </c>
      <c r="F38" s="370">
        <v>0</v>
      </c>
      <c r="G38" s="365"/>
      <c r="H38" s="370">
        <v>0</v>
      </c>
      <c r="I38" s="370">
        <v>0</v>
      </c>
    </row>
    <row r="39" spans="1:9" ht="15.6" customHeight="1" x14ac:dyDescent="0.3">
      <c r="A39" s="484"/>
      <c r="B39" s="367" t="s">
        <v>560</v>
      </c>
      <c r="C39" s="174">
        <v>0</v>
      </c>
      <c r="D39" s="191">
        <v>0</v>
      </c>
      <c r="E39" s="371">
        <v>0</v>
      </c>
      <c r="F39" s="370">
        <v>0</v>
      </c>
      <c r="G39" s="365"/>
      <c r="H39" s="370">
        <v>0</v>
      </c>
      <c r="I39" s="370">
        <v>0</v>
      </c>
    </row>
    <row r="40" spans="1:9" ht="15.6" customHeight="1" x14ac:dyDescent="0.3">
      <c r="A40" s="484"/>
      <c r="B40" s="367" t="s">
        <v>561</v>
      </c>
      <c r="C40" s="174">
        <v>0</v>
      </c>
      <c r="D40" s="191">
        <v>0</v>
      </c>
      <c r="E40" s="371">
        <v>0</v>
      </c>
      <c r="F40" s="370">
        <v>0</v>
      </c>
      <c r="G40" s="365"/>
      <c r="H40" s="370">
        <v>0</v>
      </c>
      <c r="I40" s="370">
        <v>0</v>
      </c>
    </row>
    <row r="41" spans="1:9" ht="18" customHeight="1" x14ac:dyDescent="0.3">
      <c r="A41" s="484"/>
      <c r="B41" s="367" t="s">
        <v>562</v>
      </c>
      <c r="C41" s="372">
        <v>0</v>
      </c>
      <c r="D41" s="191">
        <v>0</v>
      </c>
      <c r="E41" s="371">
        <v>0</v>
      </c>
      <c r="F41" s="370">
        <v>0</v>
      </c>
      <c r="G41" s="365"/>
      <c r="H41" s="370">
        <v>0</v>
      </c>
      <c r="I41" s="370">
        <v>0</v>
      </c>
    </row>
    <row r="42" spans="1:9" ht="15.6" customHeight="1" x14ac:dyDescent="0.3">
      <c r="A42" s="484"/>
      <c r="B42" s="367" t="s">
        <v>442</v>
      </c>
      <c r="C42" s="174">
        <v>0.6</v>
      </c>
      <c r="D42" s="191">
        <f t="shared" si="1"/>
        <v>0</v>
      </c>
      <c r="E42" s="371">
        <v>0</v>
      </c>
      <c r="F42" s="370">
        <v>0</v>
      </c>
      <c r="G42" s="365"/>
      <c r="H42" s="370">
        <v>0</v>
      </c>
      <c r="I42" s="370">
        <v>0</v>
      </c>
    </row>
    <row r="43" spans="1:9" ht="15.6" customHeight="1" x14ac:dyDescent="0.3">
      <c r="A43" s="484"/>
      <c r="B43" s="374" t="s">
        <v>563</v>
      </c>
      <c r="C43" s="373">
        <v>0.6</v>
      </c>
      <c r="D43" s="191">
        <f t="shared" si="1"/>
        <v>0.33333333333333337</v>
      </c>
      <c r="E43" s="371">
        <v>0.2</v>
      </c>
      <c r="F43" s="370">
        <v>0</v>
      </c>
      <c r="G43" s="365"/>
      <c r="H43" s="370">
        <v>0.2</v>
      </c>
      <c r="I43" s="370">
        <v>0</v>
      </c>
    </row>
    <row r="44" spans="1:9" ht="15.6" customHeight="1" x14ac:dyDescent="0.3">
      <c r="A44" s="484"/>
      <c r="B44" s="374" t="s">
        <v>444</v>
      </c>
      <c r="C44" s="174">
        <v>1.4</v>
      </c>
      <c r="D44" s="191">
        <f t="shared" si="1"/>
        <v>0</v>
      </c>
      <c r="E44" s="371">
        <v>0</v>
      </c>
      <c r="F44" s="370">
        <v>0</v>
      </c>
      <c r="G44" s="365"/>
      <c r="H44" s="370">
        <v>0</v>
      </c>
      <c r="I44" s="370">
        <v>0</v>
      </c>
    </row>
    <row r="45" spans="1:9" ht="15.6" customHeight="1" x14ac:dyDescent="0.3">
      <c r="A45" s="485"/>
      <c r="B45" s="374" t="s">
        <v>445</v>
      </c>
      <c r="C45" s="373">
        <v>0.2</v>
      </c>
      <c r="D45" s="191">
        <f t="shared" si="1"/>
        <v>0</v>
      </c>
      <c r="E45" s="371">
        <v>0</v>
      </c>
      <c r="F45" s="370">
        <v>0</v>
      </c>
      <c r="G45" s="365"/>
      <c r="H45" s="370">
        <v>0</v>
      </c>
      <c r="I45" s="370">
        <v>0</v>
      </c>
    </row>
    <row r="46" spans="1:9" ht="17.399999999999999" customHeight="1" x14ac:dyDescent="0.3">
      <c r="A46" s="482" t="s">
        <v>446</v>
      </c>
      <c r="B46" s="482"/>
      <c r="C46" s="360">
        <v>20</v>
      </c>
      <c r="D46" s="191">
        <f t="shared" si="1"/>
        <v>0</v>
      </c>
      <c r="E46" s="377">
        <v>0</v>
      </c>
      <c r="F46" s="366">
        <v>0</v>
      </c>
      <c r="G46" s="365"/>
      <c r="H46" s="366">
        <v>0</v>
      </c>
      <c r="I46" s="370">
        <v>0</v>
      </c>
    </row>
    <row r="47" spans="1:9" ht="17.399999999999999" customHeight="1" x14ac:dyDescent="0.3">
      <c r="A47" s="482" t="s">
        <v>296</v>
      </c>
      <c r="B47" s="482"/>
      <c r="C47" s="378">
        <v>4.2</v>
      </c>
      <c r="D47" s="191">
        <f t="shared" si="1"/>
        <v>9.5238095238095233E-2</v>
      </c>
      <c r="E47" s="371">
        <v>0.4</v>
      </c>
      <c r="F47" s="370">
        <v>0.2</v>
      </c>
      <c r="G47" s="365"/>
      <c r="H47" s="370">
        <v>0.2</v>
      </c>
      <c r="I47" s="379">
        <v>0</v>
      </c>
    </row>
  </sheetData>
  <mergeCells count="27">
    <mergeCell ref="A24:I24"/>
    <mergeCell ref="A22:B22"/>
    <mergeCell ref="A23:B23"/>
    <mergeCell ref="E4:E5"/>
    <mergeCell ref="G4:G5"/>
    <mergeCell ref="A12:A21"/>
    <mergeCell ref="E2:I3"/>
    <mergeCell ref="F4:F5"/>
    <mergeCell ref="H4:H5"/>
    <mergeCell ref="I4:I5"/>
    <mergeCell ref="A6:A11"/>
    <mergeCell ref="D2:D5"/>
    <mergeCell ref="C2:C5"/>
    <mergeCell ref="A2:B5"/>
    <mergeCell ref="I28:I29"/>
    <mergeCell ref="A30:A35"/>
    <mergeCell ref="A36:A45"/>
    <mergeCell ref="A46:B46"/>
    <mergeCell ref="A47:B47"/>
    <mergeCell ref="A26:B29"/>
    <mergeCell ref="C26:C29"/>
    <mergeCell ref="D26:D29"/>
    <mergeCell ref="E26:I27"/>
    <mergeCell ref="E28:E29"/>
    <mergeCell ref="F28:F29"/>
    <mergeCell ref="G28:G29"/>
    <mergeCell ref="H28:H29"/>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1" manualBreakCount="1">
    <brk id="24" max="8"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9262-9155-4587-8A3C-D599BA8FF3E4}">
  <dimension ref="A1:C11"/>
  <sheetViews>
    <sheetView view="pageLayout" topLeftCell="C10" zoomScaleNormal="100" zoomScaleSheetLayoutView="100" workbookViewId="0">
      <selection activeCell="E8" sqref="E8"/>
    </sheetView>
  </sheetViews>
  <sheetFormatPr defaultRowHeight="14.4" x14ac:dyDescent="0.3"/>
  <cols>
    <col min="1" max="1" width="8" customWidth="1"/>
    <col min="2" max="2" width="70.6640625" customWidth="1"/>
    <col min="3" max="3" width="88" customWidth="1"/>
  </cols>
  <sheetData>
    <row r="1" spans="1:3" ht="18" x14ac:dyDescent="0.35">
      <c r="A1" s="443" t="s">
        <v>566</v>
      </c>
      <c r="B1" s="444"/>
      <c r="C1" s="445"/>
    </row>
    <row r="2" spans="1:3" ht="28.8" x14ac:dyDescent="0.3">
      <c r="A2" s="227" t="s">
        <v>567</v>
      </c>
      <c r="B2" s="225" t="s">
        <v>568</v>
      </c>
      <c r="C2" s="225" t="s">
        <v>33</v>
      </c>
    </row>
    <row r="3" spans="1:3" ht="27.6" x14ac:dyDescent="0.3">
      <c r="A3" s="227">
        <v>1</v>
      </c>
      <c r="B3" s="193" t="s">
        <v>569</v>
      </c>
      <c r="C3" s="318" t="s">
        <v>570</v>
      </c>
    </row>
    <row r="4" spans="1:3" ht="27.6" x14ac:dyDescent="0.3">
      <c r="A4" s="227">
        <v>3</v>
      </c>
      <c r="B4" s="194" t="s">
        <v>571</v>
      </c>
      <c r="C4" s="9" t="s">
        <v>572</v>
      </c>
    </row>
    <row r="5" spans="1:3" ht="41.4" x14ac:dyDescent="0.3">
      <c r="A5" s="227">
        <v>2</v>
      </c>
      <c r="B5" s="193" t="s">
        <v>573</v>
      </c>
      <c r="C5" s="318" t="s">
        <v>574</v>
      </c>
    </row>
    <row r="6" spans="1:3" ht="41.4" x14ac:dyDescent="0.3">
      <c r="A6" s="227">
        <v>8</v>
      </c>
      <c r="B6" s="194" t="s">
        <v>575</v>
      </c>
      <c r="C6" s="9" t="s">
        <v>576</v>
      </c>
    </row>
    <row r="7" spans="1:3" ht="41.4" x14ac:dyDescent="0.3">
      <c r="A7" s="227">
        <v>7</v>
      </c>
      <c r="B7" s="193" t="s">
        <v>577</v>
      </c>
      <c r="C7" s="318" t="s">
        <v>578</v>
      </c>
    </row>
    <row r="8" spans="1:3" ht="41.4" x14ac:dyDescent="0.3">
      <c r="A8" s="227">
        <v>6</v>
      </c>
      <c r="B8" s="194" t="s">
        <v>579</v>
      </c>
      <c r="C8" s="9" t="s">
        <v>580</v>
      </c>
    </row>
    <row r="9" spans="1:3" ht="27.6" x14ac:dyDescent="0.3">
      <c r="A9" s="227">
        <v>5</v>
      </c>
      <c r="B9" s="193" t="s">
        <v>581</v>
      </c>
      <c r="C9" s="318" t="s">
        <v>582</v>
      </c>
    </row>
    <row r="10" spans="1:3" ht="27.6" x14ac:dyDescent="0.3">
      <c r="A10" s="252">
        <v>4</v>
      </c>
      <c r="B10" s="194" t="s">
        <v>583</v>
      </c>
      <c r="C10" s="9" t="s">
        <v>584</v>
      </c>
    </row>
    <row r="11" spans="1:3" x14ac:dyDescent="0.3">
      <c r="A11" s="319"/>
      <c r="B11" s="496" t="s">
        <v>585</v>
      </c>
      <c r="C11" s="497"/>
    </row>
  </sheetData>
  <mergeCells count="2">
    <mergeCell ref="B11:C11"/>
    <mergeCell ref="A1:C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03C0-67CA-4FFC-82D0-30D5704424FD}">
  <dimension ref="A1:J39"/>
  <sheetViews>
    <sheetView view="pageLayout" topLeftCell="A27" zoomScale="85" zoomScaleNormal="70" zoomScalePageLayoutView="85" workbookViewId="0">
      <selection activeCell="A38" sqref="A38:A39"/>
    </sheetView>
  </sheetViews>
  <sheetFormatPr defaultRowHeight="14.4" x14ac:dyDescent="0.3"/>
  <cols>
    <col min="1" max="1" width="22.6640625" style="158" customWidth="1"/>
    <col min="2" max="2" width="6.88671875" style="115" bestFit="1" customWidth="1"/>
    <col min="3" max="3" width="32.6640625" customWidth="1"/>
    <col min="4" max="8" width="11.5546875" style="10" customWidth="1"/>
    <col min="9" max="9" width="29.6640625" customWidth="1"/>
    <col min="10" max="10" width="30.6640625" style="116" customWidth="1"/>
  </cols>
  <sheetData>
    <row r="1" spans="1:10" ht="18" x14ac:dyDescent="0.35">
      <c r="A1" s="389" t="s">
        <v>28</v>
      </c>
      <c r="B1" s="390"/>
      <c r="C1" s="390"/>
      <c r="D1" s="390"/>
      <c r="E1" s="390"/>
      <c r="F1" s="390"/>
      <c r="G1" s="390"/>
      <c r="H1" s="390"/>
      <c r="I1" s="390"/>
      <c r="J1" s="391"/>
    </row>
    <row r="2" spans="1:10" ht="10.199999999999999" customHeight="1" x14ac:dyDescent="0.3">
      <c r="A2" s="394" t="s">
        <v>29</v>
      </c>
      <c r="B2" s="392" t="s">
        <v>30</v>
      </c>
      <c r="C2" s="392" t="s">
        <v>31</v>
      </c>
      <c r="D2" s="392" t="s">
        <v>32</v>
      </c>
      <c r="E2" s="392"/>
      <c r="F2" s="392"/>
      <c r="G2" s="392"/>
      <c r="H2" s="392"/>
      <c r="I2" s="392" t="s">
        <v>3</v>
      </c>
      <c r="J2" s="393" t="s">
        <v>33</v>
      </c>
    </row>
    <row r="3" spans="1:10" ht="16.2" customHeight="1" x14ac:dyDescent="0.3">
      <c r="A3" s="394"/>
      <c r="B3" s="392"/>
      <c r="C3" s="392"/>
      <c r="D3" s="392"/>
      <c r="E3" s="392"/>
      <c r="F3" s="392"/>
      <c r="G3" s="392"/>
      <c r="H3" s="392"/>
      <c r="I3" s="392"/>
      <c r="J3" s="393"/>
    </row>
    <row r="4" spans="1:10" x14ac:dyDescent="0.3">
      <c r="A4" s="394"/>
      <c r="B4" s="392"/>
      <c r="C4" s="392"/>
      <c r="D4" s="12">
        <v>2015</v>
      </c>
      <c r="E4" s="12">
        <v>2016</v>
      </c>
      <c r="F4" s="12">
        <v>2017</v>
      </c>
      <c r="G4" s="12">
        <v>2018</v>
      </c>
      <c r="H4" s="12">
        <v>2019</v>
      </c>
      <c r="I4" s="392"/>
      <c r="J4" s="393"/>
    </row>
    <row r="5" spans="1:10" ht="44.25" customHeight="1" x14ac:dyDescent="0.3">
      <c r="A5" s="386" t="s">
        <v>34</v>
      </c>
      <c r="B5" s="154" t="s">
        <v>35</v>
      </c>
      <c r="C5" s="153" t="s">
        <v>36</v>
      </c>
      <c r="D5" s="38">
        <v>1509</v>
      </c>
      <c r="E5" s="38">
        <v>1841</v>
      </c>
      <c r="F5" s="38">
        <v>1751</v>
      </c>
      <c r="G5" s="38">
        <v>1594</v>
      </c>
      <c r="H5" s="38">
        <v>1558</v>
      </c>
      <c r="I5" s="218" t="s">
        <v>37</v>
      </c>
      <c r="J5" s="395" t="s">
        <v>38</v>
      </c>
    </row>
    <row r="6" spans="1:10" ht="39" customHeight="1" x14ac:dyDescent="0.3">
      <c r="A6" s="386"/>
      <c r="B6" s="154" t="s">
        <v>39</v>
      </c>
      <c r="C6" s="153" t="s">
        <v>40</v>
      </c>
      <c r="D6" s="117">
        <v>3.2216062391774163E-4</v>
      </c>
      <c r="E6" s="117">
        <v>8.1506637851188625E-4</v>
      </c>
      <c r="F6" s="117">
        <v>1.3975246305900008E-3</v>
      </c>
      <c r="G6" s="117">
        <v>1.9748304325177862E-3</v>
      </c>
      <c r="H6" s="117">
        <v>7.4096943501080577E-4</v>
      </c>
      <c r="I6" s="153" t="s">
        <v>41</v>
      </c>
      <c r="J6" s="395"/>
    </row>
    <row r="7" spans="1:10" ht="31.2" customHeight="1" x14ac:dyDescent="0.3">
      <c r="A7" s="386"/>
      <c r="B7" s="154" t="s">
        <v>42</v>
      </c>
      <c r="C7" s="218" t="s">
        <v>43</v>
      </c>
      <c r="D7" s="118">
        <v>59</v>
      </c>
      <c r="E7" s="118">
        <v>138</v>
      </c>
      <c r="F7" s="118">
        <v>129</v>
      </c>
      <c r="G7" s="118">
        <v>96</v>
      </c>
      <c r="H7" s="118">
        <v>108</v>
      </c>
      <c r="I7" s="218" t="s">
        <v>44</v>
      </c>
      <c r="J7" s="217" t="s">
        <v>45</v>
      </c>
    </row>
    <row r="8" spans="1:10" ht="33" customHeight="1" x14ac:dyDescent="0.3">
      <c r="A8" s="386"/>
      <c r="B8" s="154" t="s">
        <v>46</v>
      </c>
      <c r="C8" s="218" t="s">
        <v>47</v>
      </c>
      <c r="D8" s="118">
        <v>0</v>
      </c>
      <c r="E8" s="119">
        <v>4.0000000000000003E-5</v>
      </c>
      <c r="F8" s="119">
        <v>4.0000000000000003E-5</v>
      </c>
      <c r="G8" s="119">
        <v>3.0000000000000001E-5</v>
      </c>
      <c r="H8" s="119">
        <v>5.0000000000000002E-5</v>
      </c>
      <c r="I8" s="218" t="s">
        <v>41</v>
      </c>
      <c r="J8" s="217"/>
    </row>
    <row r="9" spans="1:10" ht="68.400000000000006" customHeight="1" x14ac:dyDescent="0.3">
      <c r="A9" s="386" t="s">
        <v>48</v>
      </c>
      <c r="B9" s="155" t="s">
        <v>49</v>
      </c>
      <c r="C9" s="35" t="s">
        <v>50</v>
      </c>
      <c r="D9" s="37" t="s">
        <v>51</v>
      </c>
      <c r="E9" s="37" t="s">
        <v>52</v>
      </c>
      <c r="F9" s="37" t="s">
        <v>53</v>
      </c>
      <c r="G9" s="37" t="s">
        <v>54</v>
      </c>
      <c r="H9" s="37" t="s">
        <v>55</v>
      </c>
      <c r="I9" s="156" t="s">
        <v>56</v>
      </c>
      <c r="J9" s="388" t="s">
        <v>57</v>
      </c>
    </row>
    <row r="10" spans="1:10" ht="31.2" customHeight="1" x14ac:dyDescent="0.3">
      <c r="A10" s="386"/>
      <c r="B10" s="155" t="s">
        <v>58</v>
      </c>
      <c r="C10" s="35" t="s">
        <v>59</v>
      </c>
      <c r="D10" s="37" t="s">
        <v>60</v>
      </c>
      <c r="E10" s="37" t="s">
        <v>61</v>
      </c>
      <c r="F10" s="37" t="s">
        <v>62</v>
      </c>
      <c r="G10" s="37" t="s">
        <v>63</v>
      </c>
      <c r="H10" s="37" t="s">
        <v>64</v>
      </c>
      <c r="I10" s="156" t="s">
        <v>65</v>
      </c>
      <c r="J10" s="388"/>
    </row>
    <row r="11" spans="1:10" ht="27" customHeight="1" x14ac:dyDescent="0.3">
      <c r="A11" s="386"/>
      <c r="B11" s="155" t="s">
        <v>66</v>
      </c>
      <c r="C11" s="35" t="s">
        <v>67</v>
      </c>
      <c r="D11" s="37">
        <v>0</v>
      </c>
      <c r="E11" s="37">
        <v>0</v>
      </c>
      <c r="F11" s="37">
        <v>0</v>
      </c>
      <c r="G11" s="37">
        <v>0</v>
      </c>
      <c r="H11" s="37">
        <v>0</v>
      </c>
      <c r="I11" s="156" t="s">
        <v>68</v>
      </c>
      <c r="J11" s="388"/>
    </row>
    <row r="12" spans="1:10" ht="31.5" customHeight="1" x14ac:dyDescent="0.3">
      <c r="A12" s="386" t="s">
        <v>69</v>
      </c>
      <c r="B12" s="154" t="s">
        <v>70</v>
      </c>
      <c r="C12" s="153" t="s">
        <v>71</v>
      </c>
      <c r="D12" s="118">
        <v>1010005</v>
      </c>
      <c r="E12" s="118">
        <v>862687</v>
      </c>
      <c r="F12" s="118">
        <v>1884251</v>
      </c>
      <c r="G12" s="118">
        <v>2185302</v>
      </c>
      <c r="H12" s="118">
        <v>2395433</v>
      </c>
      <c r="I12" s="153" t="s">
        <v>72</v>
      </c>
      <c r="J12" s="217"/>
    </row>
    <row r="13" spans="1:10" ht="41.25" customHeight="1" x14ac:dyDescent="0.3">
      <c r="A13" s="386"/>
      <c r="B13" s="154" t="s">
        <v>73</v>
      </c>
      <c r="C13" s="153" t="s">
        <v>74</v>
      </c>
      <c r="D13" s="118">
        <v>0.17030000000000001</v>
      </c>
      <c r="E13" s="118">
        <v>5.9999999999999995E-4</v>
      </c>
      <c r="F13" s="120">
        <v>7.1353</v>
      </c>
      <c r="G13" s="120">
        <v>17.391500000000001</v>
      </c>
      <c r="H13" s="120">
        <v>30.388200000000001</v>
      </c>
      <c r="I13" s="153" t="s">
        <v>75</v>
      </c>
      <c r="J13" s="217"/>
    </row>
    <row r="14" spans="1:10" ht="30" customHeight="1" x14ac:dyDescent="0.3">
      <c r="A14" s="386"/>
      <c r="B14" s="154" t="s">
        <v>76</v>
      </c>
      <c r="C14" s="153" t="s">
        <v>77</v>
      </c>
      <c r="D14" s="118">
        <v>1504042</v>
      </c>
      <c r="E14" s="118">
        <v>2058237</v>
      </c>
      <c r="F14" s="118">
        <v>2090995</v>
      </c>
      <c r="G14" s="118">
        <v>1887418</v>
      </c>
      <c r="H14" s="118">
        <v>1617201</v>
      </c>
      <c r="I14" s="153" t="s">
        <v>78</v>
      </c>
      <c r="J14" s="217"/>
    </row>
    <row r="15" spans="1:10" ht="40.5" customHeight="1" x14ac:dyDescent="0.3">
      <c r="A15" s="386"/>
      <c r="B15" s="154" t="s">
        <v>79</v>
      </c>
      <c r="C15" s="153" t="s">
        <v>80</v>
      </c>
      <c r="D15" s="118">
        <v>80.760000000000005</v>
      </c>
      <c r="E15" s="118">
        <v>21.79</v>
      </c>
      <c r="F15" s="118">
        <v>19.61</v>
      </c>
      <c r="G15" s="120">
        <v>30.8</v>
      </c>
      <c r="H15" s="118">
        <v>38.65</v>
      </c>
      <c r="I15" s="153" t="s">
        <v>81</v>
      </c>
      <c r="J15" s="217"/>
    </row>
    <row r="16" spans="1:10" ht="30" customHeight="1" x14ac:dyDescent="0.3">
      <c r="A16" s="386"/>
      <c r="B16" s="154" t="s">
        <v>82</v>
      </c>
      <c r="C16" s="153" t="s">
        <v>83</v>
      </c>
      <c r="D16" s="118">
        <v>-12.55</v>
      </c>
      <c r="E16" s="118">
        <v>22.75</v>
      </c>
      <c r="F16" s="118">
        <v>31.48</v>
      </c>
      <c r="G16" s="118">
        <v>3.53</v>
      </c>
      <c r="H16" s="118">
        <v>-2.94</v>
      </c>
      <c r="I16" s="153" t="s">
        <v>84</v>
      </c>
      <c r="J16" s="217"/>
    </row>
    <row r="17" spans="1:10" ht="60.6" customHeight="1" x14ac:dyDescent="0.3">
      <c r="A17" s="386" t="s">
        <v>85</v>
      </c>
      <c r="B17" s="155" t="s">
        <v>86</v>
      </c>
      <c r="C17" s="156" t="s">
        <v>87</v>
      </c>
      <c r="D17" s="37">
        <v>0</v>
      </c>
      <c r="E17" s="37">
        <v>0</v>
      </c>
      <c r="F17" s="37">
        <v>0</v>
      </c>
      <c r="G17" s="37">
        <v>0</v>
      </c>
      <c r="H17" s="37">
        <v>0</v>
      </c>
      <c r="I17" s="156" t="s">
        <v>88</v>
      </c>
      <c r="J17" s="216" t="s">
        <v>89</v>
      </c>
    </row>
    <row r="18" spans="1:10" ht="27.6" x14ac:dyDescent="0.3">
      <c r="A18" s="386"/>
      <c r="B18" s="155" t="s">
        <v>90</v>
      </c>
      <c r="C18" s="156" t="s">
        <v>91</v>
      </c>
      <c r="D18" s="37">
        <v>0</v>
      </c>
      <c r="E18" s="37">
        <v>0</v>
      </c>
      <c r="F18" s="37">
        <v>0</v>
      </c>
      <c r="G18" s="37">
        <v>0</v>
      </c>
      <c r="H18" s="37">
        <v>0</v>
      </c>
      <c r="I18" s="156" t="s">
        <v>92</v>
      </c>
      <c r="J18" s="216"/>
    </row>
    <row r="19" spans="1:10" ht="63" customHeight="1" x14ac:dyDescent="0.3">
      <c r="A19" s="251" t="s">
        <v>93</v>
      </c>
      <c r="B19" s="154" t="s">
        <v>94</v>
      </c>
      <c r="C19" s="153" t="s">
        <v>95</v>
      </c>
      <c r="D19" s="121">
        <v>0</v>
      </c>
      <c r="E19" s="121">
        <v>0</v>
      </c>
      <c r="F19" s="121">
        <v>0</v>
      </c>
      <c r="G19" s="121">
        <v>0</v>
      </c>
      <c r="H19" s="121">
        <v>0</v>
      </c>
      <c r="I19" s="153" t="s">
        <v>88</v>
      </c>
      <c r="J19" s="217" t="s">
        <v>96</v>
      </c>
    </row>
    <row r="20" spans="1:10" ht="42" customHeight="1" x14ac:dyDescent="0.3">
      <c r="A20" s="398" t="s">
        <v>97</v>
      </c>
      <c r="B20" s="155" t="s">
        <v>98</v>
      </c>
      <c r="C20" s="156" t="s">
        <v>99</v>
      </c>
      <c r="D20" s="37">
        <v>0</v>
      </c>
      <c r="E20" s="37">
        <v>1</v>
      </c>
      <c r="F20" s="37">
        <v>0</v>
      </c>
      <c r="G20" s="37">
        <v>0</v>
      </c>
      <c r="H20" s="37">
        <v>0</v>
      </c>
      <c r="I20" s="156" t="s">
        <v>100</v>
      </c>
      <c r="J20" s="387" t="s">
        <v>101</v>
      </c>
    </row>
    <row r="21" spans="1:10" ht="53.4" customHeight="1" x14ac:dyDescent="0.3">
      <c r="A21" s="398"/>
      <c r="B21" s="155" t="s">
        <v>102</v>
      </c>
      <c r="C21" s="156" t="s">
        <v>103</v>
      </c>
      <c r="D21" s="37">
        <f>IFERROR(D20/1000,"N/A")</f>
        <v>0</v>
      </c>
      <c r="E21" s="37">
        <f t="shared" ref="E21:H21" si="0">IFERROR(E20/1000,"N/A")</f>
        <v>1E-3</v>
      </c>
      <c r="F21" s="37">
        <f t="shared" si="0"/>
        <v>0</v>
      </c>
      <c r="G21" s="37">
        <f t="shared" si="0"/>
        <v>0</v>
      </c>
      <c r="H21" s="37">
        <f t="shared" si="0"/>
        <v>0</v>
      </c>
      <c r="I21" s="156" t="s">
        <v>104</v>
      </c>
      <c r="J21" s="387"/>
    </row>
    <row r="22" spans="1:10" ht="36" customHeight="1" x14ac:dyDescent="0.3">
      <c r="A22" s="386" t="s">
        <v>105</v>
      </c>
      <c r="B22" s="154" t="s">
        <v>106</v>
      </c>
      <c r="C22" s="153" t="s">
        <v>107</v>
      </c>
      <c r="D22" s="121">
        <v>0</v>
      </c>
      <c r="E22" s="121">
        <v>0</v>
      </c>
      <c r="F22" s="121">
        <v>0</v>
      </c>
      <c r="G22" s="122">
        <v>2900</v>
      </c>
      <c r="H22" s="121">
        <v>0</v>
      </c>
      <c r="I22" s="401" t="s">
        <v>108</v>
      </c>
      <c r="J22" s="396" t="s">
        <v>109</v>
      </c>
    </row>
    <row r="23" spans="1:10" ht="37.200000000000003" customHeight="1" x14ac:dyDescent="0.3">
      <c r="A23" s="386"/>
      <c r="B23" s="154" t="s">
        <v>110</v>
      </c>
      <c r="C23" s="153" t="s">
        <v>111</v>
      </c>
      <c r="D23" s="121">
        <v>0</v>
      </c>
      <c r="E23" s="121">
        <v>0</v>
      </c>
      <c r="F23" s="121">
        <v>0</v>
      </c>
      <c r="G23" s="123">
        <f>2900/66317.25</f>
        <v>4.3729195646683178E-2</v>
      </c>
      <c r="H23" s="121">
        <v>0</v>
      </c>
      <c r="I23" s="401"/>
      <c r="J23" s="396"/>
    </row>
    <row r="24" spans="1:10" ht="42.6" customHeight="1" x14ac:dyDescent="0.3">
      <c r="A24" s="386" t="s">
        <v>112</v>
      </c>
      <c r="B24" s="155" t="s">
        <v>113</v>
      </c>
      <c r="C24" s="156" t="s">
        <v>114</v>
      </c>
      <c r="D24" s="37">
        <v>0</v>
      </c>
      <c r="E24" s="37">
        <v>0</v>
      </c>
      <c r="F24" s="37">
        <v>0</v>
      </c>
      <c r="G24" s="37">
        <v>1</v>
      </c>
      <c r="H24" s="37">
        <v>0</v>
      </c>
      <c r="I24" s="156" t="s">
        <v>115</v>
      </c>
      <c r="J24" s="216"/>
    </row>
    <row r="25" spans="1:10" ht="45.6" customHeight="1" x14ac:dyDescent="0.3">
      <c r="A25" s="386"/>
      <c r="B25" s="155" t="s">
        <v>116</v>
      </c>
      <c r="C25" s="156" t="s">
        <v>117</v>
      </c>
      <c r="D25" s="37">
        <v>0</v>
      </c>
      <c r="E25" s="37">
        <v>0</v>
      </c>
      <c r="F25" s="37">
        <v>0</v>
      </c>
      <c r="G25" s="37">
        <v>1.5099999999999999E-5</v>
      </c>
      <c r="H25" s="37">
        <v>0</v>
      </c>
      <c r="I25" s="156" t="s">
        <v>118</v>
      </c>
      <c r="J25" s="216"/>
    </row>
    <row r="26" spans="1:10" ht="40.200000000000003" customHeight="1" x14ac:dyDescent="0.3">
      <c r="A26" s="386" t="s">
        <v>119</v>
      </c>
      <c r="B26" s="154" t="s">
        <v>120</v>
      </c>
      <c r="C26" s="153" t="s">
        <v>121</v>
      </c>
      <c r="D26" s="113">
        <v>213</v>
      </c>
      <c r="E26" s="113">
        <v>7</v>
      </c>
      <c r="F26" s="113">
        <v>16</v>
      </c>
      <c r="G26" s="113">
        <v>28</v>
      </c>
      <c r="H26" s="113">
        <v>8</v>
      </c>
      <c r="I26" s="153" t="s">
        <v>122</v>
      </c>
      <c r="J26" s="399" t="s">
        <v>123</v>
      </c>
    </row>
    <row r="27" spans="1:10" ht="40.200000000000003" customHeight="1" x14ac:dyDescent="0.3">
      <c r="A27" s="386"/>
      <c r="B27" s="154" t="s">
        <v>124</v>
      </c>
      <c r="C27" s="153" t="s">
        <v>125</v>
      </c>
      <c r="D27" s="121">
        <v>0.24580231954301543</v>
      </c>
      <c r="E27" s="121">
        <v>2.2594055826684225E-4</v>
      </c>
      <c r="F27" s="121">
        <v>1.8016670825514848E-4</v>
      </c>
      <c r="G27" s="121">
        <v>4.2221451513186665E-4</v>
      </c>
      <c r="H27" s="121">
        <v>2.3690352873728643E-4</v>
      </c>
      <c r="I27" s="153" t="s">
        <v>126</v>
      </c>
      <c r="J27" s="400"/>
    </row>
    <row r="28" spans="1:10" ht="40.200000000000003" customHeight="1" x14ac:dyDescent="0.3">
      <c r="A28" s="386" t="s">
        <v>127</v>
      </c>
      <c r="B28" s="155" t="s">
        <v>128</v>
      </c>
      <c r="C28" s="156" t="s">
        <v>129</v>
      </c>
      <c r="D28" s="112">
        <v>32</v>
      </c>
      <c r="E28" s="112">
        <v>30</v>
      </c>
      <c r="F28" s="112">
        <v>23</v>
      </c>
      <c r="G28" s="112">
        <v>26</v>
      </c>
      <c r="H28" s="112">
        <v>21</v>
      </c>
      <c r="I28" s="156" t="s">
        <v>37</v>
      </c>
      <c r="J28" s="216"/>
    </row>
    <row r="29" spans="1:10" ht="27.6" x14ac:dyDescent="0.3">
      <c r="A29" s="386"/>
      <c r="B29" s="155" t="s">
        <v>130</v>
      </c>
      <c r="C29" s="156" t="s">
        <v>131</v>
      </c>
      <c r="D29" s="37">
        <v>3.6928048006462412E-2</v>
      </c>
      <c r="E29" s="37">
        <v>9.6831667828646681E-4</v>
      </c>
      <c r="F29" s="37">
        <v>2.5898964311677598E-4</v>
      </c>
      <c r="G29" s="37">
        <v>3.9205633547959045E-4</v>
      </c>
      <c r="H29" s="37">
        <v>6.2187176293537695E-4</v>
      </c>
      <c r="I29" s="156" t="s">
        <v>41</v>
      </c>
      <c r="J29" s="216"/>
    </row>
    <row r="30" spans="1:10" ht="16.2" customHeight="1" x14ac:dyDescent="0.3">
      <c r="A30" s="386"/>
      <c r="B30" s="155" t="s">
        <v>132</v>
      </c>
      <c r="C30" s="156" t="s">
        <v>133</v>
      </c>
      <c r="D30" s="112">
        <v>19</v>
      </c>
      <c r="E30" s="112">
        <v>18</v>
      </c>
      <c r="F30" s="112">
        <v>15</v>
      </c>
      <c r="G30" s="112">
        <v>13</v>
      </c>
      <c r="H30" s="112">
        <v>11</v>
      </c>
      <c r="I30" s="156" t="s">
        <v>134</v>
      </c>
      <c r="J30" s="216"/>
    </row>
    <row r="31" spans="1:10" ht="17.25" customHeight="1" x14ac:dyDescent="0.3">
      <c r="A31" s="386"/>
      <c r="B31" s="155" t="s">
        <v>135</v>
      </c>
      <c r="C31" s="156" t="s">
        <v>136</v>
      </c>
      <c r="D31" s="112">
        <v>13</v>
      </c>
      <c r="E31" s="112">
        <v>11</v>
      </c>
      <c r="F31" s="112">
        <v>7</v>
      </c>
      <c r="G31" s="112">
        <v>7</v>
      </c>
      <c r="H31" s="112">
        <v>8</v>
      </c>
      <c r="I31" s="156" t="s">
        <v>137</v>
      </c>
      <c r="J31" s="216"/>
    </row>
    <row r="32" spans="1:10" ht="17.25" customHeight="1" x14ac:dyDescent="0.3">
      <c r="A32" s="386"/>
      <c r="B32" s="155" t="s">
        <v>138</v>
      </c>
      <c r="C32" s="156" t="s">
        <v>139</v>
      </c>
      <c r="D32" s="37">
        <v>6</v>
      </c>
      <c r="E32" s="37">
        <v>7</v>
      </c>
      <c r="F32" s="37">
        <v>8</v>
      </c>
      <c r="G32" s="37">
        <v>6</v>
      </c>
      <c r="H32" s="37">
        <v>3</v>
      </c>
      <c r="I32" s="156" t="s">
        <v>140</v>
      </c>
      <c r="J32" s="216"/>
    </row>
    <row r="33" spans="1:10" ht="28.5" customHeight="1" x14ac:dyDescent="0.3">
      <c r="A33" s="386"/>
      <c r="B33" s="155" t="s">
        <v>141</v>
      </c>
      <c r="C33" s="156" t="s">
        <v>142</v>
      </c>
      <c r="D33" s="37">
        <v>3.6928048006462412E-2</v>
      </c>
      <c r="E33" s="37">
        <v>3.462004500605851E-2</v>
      </c>
      <c r="F33" s="37">
        <v>2.6542034504644856E-2</v>
      </c>
      <c r="G33" s="37">
        <v>3.0004039005250709E-2</v>
      </c>
      <c r="H33" s="37">
        <v>2.4234031504240958E-2</v>
      </c>
      <c r="I33" s="156" t="s">
        <v>143</v>
      </c>
      <c r="J33" s="216"/>
    </row>
    <row r="34" spans="1:10" ht="29.25" customHeight="1" x14ac:dyDescent="0.3">
      <c r="A34" s="386"/>
      <c r="B34" s="155" t="s">
        <v>144</v>
      </c>
      <c r="C34" s="156" t="s">
        <v>145</v>
      </c>
      <c r="D34" s="37">
        <v>1.5002019502625355E-2</v>
      </c>
      <c r="E34" s="37">
        <v>1.2694016502221454E-2</v>
      </c>
      <c r="F34" s="37">
        <v>8.078010501413652E-3</v>
      </c>
      <c r="G34" s="37">
        <v>8.078010501413652E-3</v>
      </c>
      <c r="H34" s="37">
        <v>9.232012001615603E-3</v>
      </c>
      <c r="I34" s="156" t="s">
        <v>146</v>
      </c>
      <c r="J34" s="216"/>
    </row>
    <row r="35" spans="1:10" ht="28.5" customHeight="1" x14ac:dyDescent="0.3">
      <c r="A35" s="386"/>
      <c r="B35" s="155" t="s">
        <v>147</v>
      </c>
      <c r="C35" s="156" t="s">
        <v>148</v>
      </c>
      <c r="D35" s="37">
        <v>6.9240090012117018E-3</v>
      </c>
      <c r="E35" s="37">
        <v>4.0972759645148912E-7</v>
      </c>
      <c r="F35" s="37">
        <v>9.0961785080638706E-8</v>
      </c>
      <c r="G35" s="37">
        <v>1.2180904596730329E-7</v>
      </c>
      <c r="H35" s="37">
        <v>2.7338702756596444E-7</v>
      </c>
      <c r="I35" s="156" t="s">
        <v>149</v>
      </c>
      <c r="J35" s="216"/>
    </row>
    <row r="36" spans="1:10" ht="16.95" customHeight="1" x14ac:dyDescent="0.3">
      <c r="A36" s="386"/>
      <c r="B36" s="155" t="s">
        <v>150</v>
      </c>
      <c r="C36" s="156" t="s">
        <v>151</v>
      </c>
      <c r="D36" s="37">
        <v>13</v>
      </c>
      <c r="E36" s="37">
        <v>12</v>
      </c>
      <c r="F36" s="37">
        <v>8</v>
      </c>
      <c r="G36" s="37">
        <v>13</v>
      </c>
      <c r="H36" s="37">
        <v>10</v>
      </c>
      <c r="I36" s="156" t="s">
        <v>152</v>
      </c>
      <c r="J36" s="216"/>
    </row>
    <row r="37" spans="1:10" ht="27.6" x14ac:dyDescent="0.3">
      <c r="A37" s="386"/>
      <c r="B37" s="155" t="s">
        <v>153</v>
      </c>
      <c r="C37" s="156" t="s">
        <v>154</v>
      </c>
      <c r="D37" s="37">
        <v>1.5002019502625355E-2</v>
      </c>
      <c r="E37" s="37">
        <v>3.8732667131458672E-4</v>
      </c>
      <c r="F37" s="37">
        <v>9.0083354127574241E-5</v>
      </c>
      <c r="G37" s="37">
        <v>1.9602816773979523E-4</v>
      </c>
      <c r="H37" s="37">
        <v>2.9612941092160806E-4</v>
      </c>
      <c r="I37" s="156" t="s">
        <v>155</v>
      </c>
      <c r="J37" s="216"/>
    </row>
    <row r="38" spans="1:10" ht="61.95" customHeight="1" x14ac:dyDescent="0.3">
      <c r="A38" s="386" t="s">
        <v>156</v>
      </c>
      <c r="B38" s="154" t="s">
        <v>157</v>
      </c>
      <c r="C38" s="157" t="s">
        <v>158</v>
      </c>
      <c r="D38" s="121" t="s">
        <v>26</v>
      </c>
      <c r="E38" s="121" t="s">
        <v>26</v>
      </c>
      <c r="F38" s="121" t="s">
        <v>26</v>
      </c>
      <c r="G38" s="121" t="s">
        <v>26</v>
      </c>
      <c r="H38" s="38">
        <v>76236</v>
      </c>
      <c r="I38" s="153" t="s">
        <v>159</v>
      </c>
      <c r="J38" s="217"/>
    </row>
    <row r="39" spans="1:10" ht="73.95" customHeight="1" x14ac:dyDescent="0.3">
      <c r="A39" s="397"/>
      <c r="B39" s="154" t="s">
        <v>160</v>
      </c>
      <c r="C39" s="153" t="s">
        <v>161</v>
      </c>
      <c r="D39" s="121" t="s">
        <v>26</v>
      </c>
      <c r="E39" s="121" t="s">
        <v>26</v>
      </c>
      <c r="F39" s="121" t="s">
        <v>26</v>
      </c>
      <c r="G39" s="121" t="s">
        <v>26</v>
      </c>
      <c r="H39" s="39">
        <v>1.46</v>
      </c>
      <c r="I39" s="153" t="s">
        <v>162</v>
      </c>
      <c r="J39" s="217"/>
    </row>
  </sheetData>
  <mergeCells count="23">
    <mergeCell ref="J22:J23"/>
    <mergeCell ref="A38:A39"/>
    <mergeCell ref="A28:A37"/>
    <mergeCell ref="A24:A25"/>
    <mergeCell ref="A20:A21"/>
    <mergeCell ref="A26:A27"/>
    <mergeCell ref="A22:A23"/>
    <mergeCell ref="J26:J27"/>
    <mergeCell ref="I22:I23"/>
    <mergeCell ref="A1:J1"/>
    <mergeCell ref="D2:H3"/>
    <mergeCell ref="A5:A8"/>
    <mergeCell ref="J2:J4"/>
    <mergeCell ref="A2:A4"/>
    <mergeCell ref="B2:B4"/>
    <mergeCell ref="C2:C4"/>
    <mergeCell ref="I2:I4"/>
    <mergeCell ref="J5:J6"/>
    <mergeCell ref="A9:A11"/>
    <mergeCell ref="A12:A16"/>
    <mergeCell ref="A17:A18"/>
    <mergeCell ref="J20:J21"/>
    <mergeCell ref="J9:J11"/>
  </mergeCells>
  <printOptions horizontalCentered="1"/>
  <pageMargins left="0.5" right="0.5" top="1" bottom="0.75" header="0" footer="0.5"/>
  <pageSetup paperSize="5" scale="92" orientation="landscape" horizontalDpi="1200" verticalDpi="1200" r:id="rId1"/>
  <headerFooter>
    <oddFooter>&amp;L&amp;ESDGE 2020 WMP - &amp;A&amp;C&amp;P&amp;R &amp;D</oddFooter>
  </headerFooter>
  <rowBreaks count="1" manualBreakCount="1">
    <brk id="25"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3389-E4F4-40DA-B81E-7A78FB2F2B47}">
  <dimension ref="A1:D10"/>
  <sheetViews>
    <sheetView view="pageLayout" topLeftCell="B17" zoomScaleNormal="100" zoomScaleSheetLayoutView="100" workbookViewId="0">
      <selection activeCell="F22" sqref="F22"/>
    </sheetView>
  </sheetViews>
  <sheetFormatPr defaultRowHeight="14.4" x14ac:dyDescent="0.3"/>
  <cols>
    <col min="1" max="1" width="11" customWidth="1"/>
    <col min="2" max="2" width="92.33203125" customWidth="1"/>
    <col min="3" max="3" width="40.88671875" customWidth="1"/>
    <col min="4" max="4" width="23" customWidth="1"/>
  </cols>
  <sheetData>
    <row r="1" spans="1:4" ht="18" x14ac:dyDescent="0.35">
      <c r="A1" s="407" t="s">
        <v>586</v>
      </c>
      <c r="B1" s="408"/>
      <c r="C1" s="408"/>
      <c r="D1" s="409"/>
    </row>
    <row r="2" spans="1:4" ht="28.8" x14ac:dyDescent="0.3">
      <c r="A2" s="225" t="s">
        <v>587</v>
      </c>
      <c r="B2" s="225" t="s">
        <v>451</v>
      </c>
      <c r="C2" s="225" t="s">
        <v>588</v>
      </c>
      <c r="D2" s="225" t="s">
        <v>33</v>
      </c>
    </row>
    <row r="3" spans="1:4" ht="32.4" customHeight="1" x14ac:dyDescent="0.3">
      <c r="A3" s="225">
        <v>1</v>
      </c>
      <c r="B3" s="164" t="s">
        <v>589</v>
      </c>
      <c r="C3" s="249" t="s">
        <v>590</v>
      </c>
      <c r="D3" s="318"/>
    </row>
    <row r="4" spans="1:4" ht="32.4" customHeight="1" x14ac:dyDescent="0.3">
      <c r="A4" s="225">
        <v>2</v>
      </c>
      <c r="B4" s="165" t="s">
        <v>591</v>
      </c>
      <c r="C4" s="250" t="s">
        <v>590</v>
      </c>
      <c r="D4" s="9"/>
    </row>
    <row r="5" spans="1:4" ht="32.4" customHeight="1" x14ac:dyDescent="0.3">
      <c r="A5" s="225">
        <v>7</v>
      </c>
      <c r="B5" s="164" t="s">
        <v>592</v>
      </c>
      <c r="C5" s="249" t="s">
        <v>593</v>
      </c>
      <c r="D5" s="318"/>
    </row>
    <row r="6" spans="1:4" ht="32.4" customHeight="1" x14ac:dyDescent="0.3">
      <c r="A6" s="225">
        <v>8</v>
      </c>
      <c r="B6" s="165" t="s">
        <v>594</v>
      </c>
      <c r="C6" s="250" t="s">
        <v>593</v>
      </c>
      <c r="D6" s="9"/>
    </row>
    <row r="7" spans="1:4" ht="32.4" customHeight="1" x14ac:dyDescent="0.3">
      <c r="A7" s="225">
        <v>5</v>
      </c>
      <c r="B7" s="164" t="s">
        <v>595</v>
      </c>
      <c r="C7" s="249" t="s">
        <v>593</v>
      </c>
      <c r="D7" s="318"/>
    </row>
    <row r="8" spans="1:4" ht="32.4" customHeight="1" x14ac:dyDescent="0.3">
      <c r="A8" s="225">
        <v>6</v>
      </c>
      <c r="B8" s="165" t="s">
        <v>596</v>
      </c>
      <c r="C8" s="250" t="s">
        <v>593</v>
      </c>
      <c r="D8" s="9"/>
    </row>
    <row r="9" spans="1:4" ht="32.4" customHeight="1" x14ac:dyDescent="0.3">
      <c r="A9" s="225">
        <v>3</v>
      </c>
      <c r="B9" s="164" t="s">
        <v>597</v>
      </c>
      <c r="C9" s="249" t="s">
        <v>593</v>
      </c>
      <c r="D9" s="318"/>
    </row>
    <row r="10" spans="1:4" ht="32.4" customHeight="1" x14ac:dyDescent="0.3">
      <c r="A10" s="225">
        <v>4</v>
      </c>
      <c r="B10" s="165" t="s">
        <v>598</v>
      </c>
      <c r="C10" s="250" t="s">
        <v>593</v>
      </c>
      <c r="D10" s="9"/>
    </row>
  </sheetData>
  <mergeCells count="1">
    <mergeCell ref="A1:D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469B-837C-45B3-9B6C-2DB341174004}">
  <dimension ref="A1:Q15"/>
  <sheetViews>
    <sheetView view="pageLayout" topLeftCell="D10" zoomScaleNormal="100" zoomScaleSheetLayoutView="100" workbookViewId="0">
      <selection activeCell="U6" sqref="U6"/>
    </sheetView>
  </sheetViews>
  <sheetFormatPr defaultRowHeight="14.4" x14ac:dyDescent="0.3"/>
  <cols>
    <col min="1" max="1" width="13.5546875" customWidth="1"/>
    <col min="2" max="2" width="10.44140625" bestFit="1" customWidth="1"/>
    <col min="3" max="6" width="7.5546875" customWidth="1"/>
    <col min="7" max="7" width="8.109375" customWidth="1"/>
    <col min="9" max="10" width="8.109375" customWidth="1"/>
    <col min="11" max="11" width="8.5546875" customWidth="1"/>
    <col min="13" max="13" width="12.5546875" bestFit="1" customWidth="1"/>
    <col min="14" max="14" width="8.33203125" customWidth="1"/>
    <col min="15" max="15" width="20.109375" bestFit="1" customWidth="1"/>
    <col min="16" max="16" width="14.88671875" bestFit="1" customWidth="1"/>
    <col min="17" max="17" width="5.88671875" customWidth="1"/>
  </cols>
  <sheetData>
    <row r="1" spans="1:17" ht="18" x14ac:dyDescent="0.35">
      <c r="A1" s="407" t="s">
        <v>599</v>
      </c>
      <c r="B1" s="408"/>
      <c r="C1" s="408"/>
      <c r="D1" s="408"/>
      <c r="E1" s="408"/>
      <c r="F1" s="408"/>
      <c r="G1" s="408"/>
      <c r="H1" s="408"/>
      <c r="I1" s="408"/>
      <c r="J1" s="408"/>
      <c r="K1" s="408"/>
      <c r="L1" s="408"/>
      <c r="M1" s="408"/>
      <c r="N1" s="408"/>
      <c r="O1" s="408"/>
      <c r="P1" s="408"/>
      <c r="Q1" s="409"/>
    </row>
    <row r="2" spans="1:17" ht="62.4" customHeight="1" x14ac:dyDescent="0.3">
      <c r="A2" s="498" t="s">
        <v>600</v>
      </c>
      <c r="B2" s="498" t="s">
        <v>291</v>
      </c>
      <c r="C2" s="498" t="s">
        <v>601</v>
      </c>
      <c r="D2" s="498"/>
      <c r="E2" s="498" t="s">
        <v>602</v>
      </c>
      <c r="F2" s="498"/>
      <c r="G2" s="498" t="s">
        <v>603</v>
      </c>
      <c r="H2" s="498" t="s">
        <v>604</v>
      </c>
      <c r="I2" s="498" t="s">
        <v>605</v>
      </c>
      <c r="J2" s="498" t="s">
        <v>606</v>
      </c>
      <c r="K2" s="498" t="s">
        <v>607</v>
      </c>
      <c r="L2" s="498" t="s">
        <v>608</v>
      </c>
      <c r="M2" s="498" t="s">
        <v>609</v>
      </c>
      <c r="N2" s="498" t="s">
        <v>610</v>
      </c>
      <c r="O2" s="498" t="s">
        <v>611</v>
      </c>
      <c r="P2" s="498" t="s">
        <v>612</v>
      </c>
      <c r="Q2" s="498" t="s">
        <v>33</v>
      </c>
    </row>
    <row r="3" spans="1:17" ht="15" customHeight="1" x14ac:dyDescent="0.3">
      <c r="A3" s="498"/>
      <c r="B3" s="498"/>
      <c r="C3" s="244" t="s">
        <v>613</v>
      </c>
      <c r="D3" s="244" t="s">
        <v>614</v>
      </c>
      <c r="E3" s="244" t="s">
        <v>613</v>
      </c>
      <c r="F3" s="244" t="s">
        <v>614</v>
      </c>
      <c r="G3" s="498"/>
      <c r="H3" s="498"/>
      <c r="I3" s="498"/>
      <c r="J3" s="498"/>
      <c r="K3" s="498"/>
      <c r="L3" s="498"/>
      <c r="M3" s="498"/>
      <c r="N3" s="498"/>
      <c r="O3" s="498"/>
      <c r="P3" s="498"/>
      <c r="Q3" s="498"/>
    </row>
    <row r="4" spans="1:17" ht="17.399999999999999" customHeight="1" x14ac:dyDescent="0.3">
      <c r="A4" s="413" t="s">
        <v>615</v>
      </c>
      <c r="B4" s="234" t="s">
        <v>616</v>
      </c>
      <c r="C4" s="241">
        <v>300</v>
      </c>
      <c r="D4" s="241">
        <v>500</v>
      </c>
      <c r="E4" s="234" t="s">
        <v>26</v>
      </c>
      <c r="F4" s="234" t="s">
        <v>26</v>
      </c>
      <c r="G4" s="49">
        <f>((C4+D4)/2)/17277</f>
        <v>2.315216762169358E-2</v>
      </c>
      <c r="H4" s="234" t="s">
        <v>26</v>
      </c>
      <c r="I4" s="499" t="s">
        <v>617</v>
      </c>
      <c r="J4" s="500"/>
      <c r="K4" s="234" t="s">
        <v>26</v>
      </c>
      <c r="L4" s="234" t="s">
        <v>618</v>
      </c>
      <c r="M4" s="234" t="s">
        <v>619</v>
      </c>
      <c r="N4" s="234" t="s">
        <v>26</v>
      </c>
      <c r="O4" s="249" t="s">
        <v>620</v>
      </c>
      <c r="P4" s="109" t="s">
        <v>621</v>
      </c>
      <c r="Q4" s="109"/>
    </row>
    <row r="5" spans="1:17" ht="17.399999999999999" customHeight="1" x14ac:dyDescent="0.3">
      <c r="A5" s="413"/>
      <c r="B5" s="235" t="s">
        <v>622</v>
      </c>
      <c r="C5" s="505">
        <v>270</v>
      </c>
      <c r="D5" s="506"/>
      <c r="E5" s="235" t="s">
        <v>26</v>
      </c>
      <c r="F5" s="235" t="s">
        <v>26</v>
      </c>
      <c r="G5" s="50">
        <f t="shared" ref="G5:G9" si="0">((C5+D5)/2)/17277</f>
        <v>7.8138565723215835E-3</v>
      </c>
      <c r="H5" s="235" t="s">
        <v>26</v>
      </c>
      <c r="I5" s="501"/>
      <c r="J5" s="502"/>
      <c r="K5" s="235" t="s">
        <v>26</v>
      </c>
      <c r="L5" s="235" t="s">
        <v>618</v>
      </c>
      <c r="M5" s="235" t="s">
        <v>619</v>
      </c>
      <c r="N5" s="235" t="s">
        <v>26</v>
      </c>
      <c r="O5" s="250" t="s">
        <v>620</v>
      </c>
      <c r="P5" s="110" t="s">
        <v>621</v>
      </c>
      <c r="Q5" s="110"/>
    </row>
    <row r="6" spans="1:17" ht="17.399999999999999" customHeight="1" x14ac:dyDescent="0.3">
      <c r="A6" s="413"/>
      <c r="B6" s="234">
        <v>2020</v>
      </c>
      <c r="C6" s="241">
        <f>1400*0.8</f>
        <v>1120</v>
      </c>
      <c r="D6" s="241">
        <f>1400*1.2</f>
        <v>1680</v>
      </c>
      <c r="E6" s="234" t="s">
        <v>26</v>
      </c>
      <c r="F6" s="234" t="s">
        <v>26</v>
      </c>
      <c r="G6" s="49">
        <f t="shared" si="0"/>
        <v>8.103258667592754E-2</v>
      </c>
      <c r="H6" s="234" t="s">
        <v>26</v>
      </c>
      <c r="I6" s="501"/>
      <c r="J6" s="502"/>
      <c r="K6" s="234" t="s">
        <v>26</v>
      </c>
      <c r="L6" s="234" t="s">
        <v>618</v>
      </c>
      <c r="M6" s="234" t="s">
        <v>619</v>
      </c>
      <c r="N6" s="234" t="s">
        <v>26</v>
      </c>
      <c r="O6" s="249" t="s">
        <v>620</v>
      </c>
      <c r="P6" s="109" t="s">
        <v>621</v>
      </c>
      <c r="Q6" s="109"/>
    </row>
    <row r="7" spans="1:17" ht="17.399999999999999" customHeight="1" x14ac:dyDescent="0.3">
      <c r="A7" s="413"/>
      <c r="B7" s="235">
        <v>2021</v>
      </c>
      <c r="C7" s="51">
        <f>1800*0.8</f>
        <v>1440</v>
      </c>
      <c r="D7" s="51">
        <f>1800*1.2</f>
        <v>2160</v>
      </c>
      <c r="E7" s="235" t="s">
        <v>26</v>
      </c>
      <c r="F7" s="235" t="s">
        <v>26</v>
      </c>
      <c r="G7" s="50">
        <f t="shared" si="0"/>
        <v>0.10418475429762111</v>
      </c>
      <c r="H7" s="235" t="s">
        <v>26</v>
      </c>
      <c r="I7" s="501"/>
      <c r="J7" s="502"/>
      <c r="K7" s="235" t="s">
        <v>26</v>
      </c>
      <c r="L7" s="235" t="s">
        <v>618</v>
      </c>
      <c r="M7" s="235" t="s">
        <v>619</v>
      </c>
      <c r="N7" s="235" t="s">
        <v>26</v>
      </c>
      <c r="O7" s="250" t="s">
        <v>620</v>
      </c>
      <c r="P7" s="110" t="s">
        <v>621</v>
      </c>
      <c r="Q7" s="110"/>
    </row>
    <row r="8" spans="1:17" ht="17.399999999999999" customHeight="1" x14ac:dyDescent="0.3">
      <c r="A8" s="413"/>
      <c r="B8" s="234">
        <v>2022</v>
      </c>
      <c r="C8" s="241">
        <f>2200*0.8</f>
        <v>1760</v>
      </c>
      <c r="D8" s="241">
        <f>2200*1.2</f>
        <v>2640</v>
      </c>
      <c r="E8" s="234" t="s">
        <v>26</v>
      </c>
      <c r="F8" s="234" t="s">
        <v>26</v>
      </c>
      <c r="G8" s="49">
        <f t="shared" si="0"/>
        <v>0.1273369219193147</v>
      </c>
      <c r="H8" s="234" t="s">
        <v>26</v>
      </c>
      <c r="I8" s="501"/>
      <c r="J8" s="502"/>
      <c r="K8" s="234" t="s">
        <v>26</v>
      </c>
      <c r="L8" s="234" t="s">
        <v>618</v>
      </c>
      <c r="M8" s="234" t="s">
        <v>619</v>
      </c>
      <c r="N8" s="234" t="s">
        <v>26</v>
      </c>
      <c r="O8" s="249" t="s">
        <v>620</v>
      </c>
      <c r="P8" s="109" t="s">
        <v>621</v>
      </c>
      <c r="Q8" s="109"/>
    </row>
    <row r="9" spans="1:17" ht="27.6" x14ac:dyDescent="0.3">
      <c r="A9" s="413"/>
      <c r="B9" s="250" t="s">
        <v>623</v>
      </c>
      <c r="C9" s="51">
        <f>SUM(C6:C8)</f>
        <v>4320</v>
      </c>
      <c r="D9" s="51">
        <f>SUM(D6:D8)</f>
        <v>6480</v>
      </c>
      <c r="E9" s="235" t="s">
        <v>26</v>
      </c>
      <c r="F9" s="235" t="s">
        <v>26</v>
      </c>
      <c r="G9" s="50">
        <f t="shared" si="0"/>
        <v>0.31255426289286337</v>
      </c>
      <c r="H9" s="235" t="s">
        <v>26</v>
      </c>
      <c r="I9" s="503"/>
      <c r="J9" s="504"/>
      <c r="K9" s="235" t="s">
        <v>26</v>
      </c>
      <c r="L9" s="235" t="s">
        <v>618</v>
      </c>
      <c r="M9" s="235" t="s">
        <v>619</v>
      </c>
      <c r="N9" s="235" t="s">
        <v>26</v>
      </c>
      <c r="O9" s="250" t="s">
        <v>620</v>
      </c>
      <c r="P9" s="110" t="s">
        <v>621</v>
      </c>
      <c r="Q9" s="110"/>
    </row>
    <row r="10" spans="1:17" ht="17.399999999999999" customHeight="1" x14ac:dyDescent="0.3">
      <c r="A10" s="413" t="s">
        <v>624</v>
      </c>
      <c r="B10" s="234" t="s">
        <v>616</v>
      </c>
      <c r="C10" s="234" t="s">
        <v>26</v>
      </c>
      <c r="D10" s="234" t="s">
        <v>26</v>
      </c>
      <c r="E10" s="234" t="s">
        <v>26</v>
      </c>
      <c r="F10" s="234" t="s">
        <v>26</v>
      </c>
      <c r="G10" s="234" t="s">
        <v>26</v>
      </c>
      <c r="H10" s="234" t="s">
        <v>26</v>
      </c>
      <c r="I10" s="499" t="s">
        <v>617</v>
      </c>
      <c r="J10" s="500"/>
      <c r="K10" s="234" t="s">
        <v>26</v>
      </c>
      <c r="L10" s="234" t="s">
        <v>625</v>
      </c>
      <c r="M10" s="234" t="s">
        <v>26</v>
      </c>
      <c r="N10" s="234" t="s">
        <v>26</v>
      </c>
      <c r="O10" s="249" t="s">
        <v>620</v>
      </c>
      <c r="P10" s="109" t="s">
        <v>621</v>
      </c>
      <c r="Q10" s="109"/>
    </row>
    <row r="11" spans="1:17" ht="17.399999999999999" customHeight="1" x14ac:dyDescent="0.3">
      <c r="A11" s="413"/>
      <c r="B11" s="235" t="s">
        <v>622</v>
      </c>
      <c r="C11" s="507" t="s">
        <v>26</v>
      </c>
      <c r="D11" s="508"/>
      <c r="E11" s="235" t="s">
        <v>26</v>
      </c>
      <c r="F11" s="235" t="s">
        <v>26</v>
      </c>
      <c r="G11" s="235" t="s">
        <v>26</v>
      </c>
      <c r="H11" s="235" t="s">
        <v>26</v>
      </c>
      <c r="I11" s="501"/>
      <c r="J11" s="502"/>
      <c r="K11" s="235" t="s">
        <v>26</v>
      </c>
      <c r="L11" s="235" t="s">
        <v>625</v>
      </c>
      <c r="M11" s="235" t="s">
        <v>26</v>
      </c>
      <c r="N11" s="235" t="s">
        <v>26</v>
      </c>
      <c r="O11" s="250" t="s">
        <v>620</v>
      </c>
      <c r="P11" s="110" t="s">
        <v>621</v>
      </c>
      <c r="Q11" s="110"/>
    </row>
    <row r="12" spans="1:17" ht="17.399999999999999" customHeight="1" x14ac:dyDescent="0.3">
      <c r="A12" s="413"/>
      <c r="B12" s="234">
        <v>2020</v>
      </c>
      <c r="C12" s="234">
        <v>0</v>
      </c>
      <c r="D12" s="234">
        <v>0</v>
      </c>
      <c r="E12" s="234" t="s">
        <v>26</v>
      </c>
      <c r="F12" s="234" t="s">
        <v>26</v>
      </c>
      <c r="G12" s="49">
        <v>0</v>
      </c>
      <c r="H12" s="234" t="s">
        <v>26</v>
      </c>
      <c r="I12" s="501"/>
      <c r="J12" s="502"/>
      <c r="K12" s="234" t="s">
        <v>26</v>
      </c>
      <c r="L12" s="234" t="s">
        <v>625</v>
      </c>
      <c r="M12" s="234" t="s">
        <v>26</v>
      </c>
      <c r="N12" s="234" t="s">
        <v>638</v>
      </c>
      <c r="O12" s="249" t="s">
        <v>620</v>
      </c>
      <c r="P12" s="109" t="s">
        <v>621</v>
      </c>
      <c r="Q12" s="109"/>
    </row>
    <row r="13" spans="1:17" ht="17.399999999999999" customHeight="1" x14ac:dyDescent="0.3">
      <c r="A13" s="413"/>
      <c r="B13" s="235">
        <v>2021</v>
      </c>
      <c r="C13" s="235">
        <v>0</v>
      </c>
      <c r="D13" s="235">
        <v>0</v>
      </c>
      <c r="E13" s="235" t="s">
        <v>26</v>
      </c>
      <c r="F13" s="235" t="s">
        <v>26</v>
      </c>
      <c r="G13" s="50">
        <v>0</v>
      </c>
      <c r="H13" s="235" t="s">
        <v>26</v>
      </c>
      <c r="I13" s="501"/>
      <c r="J13" s="502"/>
      <c r="K13" s="235" t="s">
        <v>26</v>
      </c>
      <c r="L13" s="235" t="s">
        <v>625</v>
      </c>
      <c r="M13" s="235" t="s">
        <v>26</v>
      </c>
      <c r="N13" s="235" t="s">
        <v>638</v>
      </c>
      <c r="O13" s="250" t="s">
        <v>620</v>
      </c>
      <c r="P13" s="110" t="s">
        <v>621</v>
      </c>
      <c r="Q13" s="110"/>
    </row>
    <row r="14" spans="1:17" ht="17.399999999999999" customHeight="1" x14ac:dyDescent="0.3">
      <c r="A14" s="413"/>
      <c r="B14" s="234">
        <v>2022</v>
      </c>
      <c r="C14" s="241">
        <v>7500</v>
      </c>
      <c r="D14" s="241">
        <v>9500</v>
      </c>
      <c r="E14" s="234" t="s">
        <v>26</v>
      </c>
      <c r="F14" s="234" t="s">
        <v>26</v>
      </c>
      <c r="G14" s="49">
        <f>((C14+D14)/2)/17277</f>
        <v>0.49198356196098858</v>
      </c>
      <c r="H14" s="234" t="s">
        <v>26</v>
      </c>
      <c r="I14" s="501"/>
      <c r="J14" s="502"/>
      <c r="K14" s="234" t="s">
        <v>26</v>
      </c>
      <c r="L14" s="234" t="s">
        <v>625</v>
      </c>
      <c r="M14" s="234" t="s">
        <v>26</v>
      </c>
      <c r="N14" s="234" t="s">
        <v>638</v>
      </c>
      <c r="O14" s="249" t="s">
        <v>620</v>
      </c>
      <c r="P14" s="109" t="s">
        <v>621</v>
      </c>
      <c r="Q14" s="109"/>
    </row>
    <row r="15" spans="1:17" ht="27.6" x14ac:dyDescent="0.3">
      <c r="A15" s="413"/>
      <c r="B15" s="250" t="s">
        <v>623</v>
      </c>
      <c r="C15" s="51">
        <v>7500</v>
      </c>
      <c r="D15" s="51">
        <v>9500</v>
      </c>
      <c r="E15" s="235" t="s">
        <v>26</v>
      </c>
      <c r="F15" s="235" t="s">
        <v>26</v>
      </c>
      <c r="G15" s="50">
        <f>((C15+D15)/2)/17277</f>
        <v>0.49198356196098858</v>
      </c>
      <c r="H15" s="235" t="s">
        <v>26</v>
      </c>
      <c r="I15" s="503"/>
      <c r="J15" s="504"/>
      <c r="K15" s="235" t="s">
        <v>26</v>
      </c>
      <c r="L15" s="235" t="s">
        <v>625</v>
      </c>
      <c r="M15" s="235" t="s">
        <v>26</v>
      </c>
      <c r="N15" s="235" t="s">
        <v>638</v>
      </c>
      <c r="O15" s="250" t="s">
        <v>620</v>
      </c>
      <c r="P15" s="110" t="s">
        <v>621</v>
      </c>
      <c r="Q15" s="110"/>
    </row>
  </sheetData>
  <mergeCells count="22">
    <mergeCell ref="A4:A9"/>
    <mergeCell ref="I4:J9"/>
    <mergeCell ref="C5:D5"/>
    <mergeCell ref="A10:A15"/>
    <mergeCell ref="I10:J15"/>
    <mergeCell ref="C11:D11"/>
    <mergeCell ref="Q2:Q3"/>
    <mergeCell ref="A1:Q1"/>
    <mergeCell ref="A2:A3"/>
    <mergeCell ref="B2:B3"/>
    <mergeCell ref="C2:D2"/>
    <mergeCell ref="E2:F2"/>
    <mergeCell ref="G2:G3"/>
    <mergeCell ref="H2:H3"/>
    <mergeCell ref="I2:I3"/>
    <mergeCell ref="J2:J3"/>
    <mergeCell ref="K2:K3"/>
    <mergeCell ref="L2:L3"/>
    <mergeCell ref="M2:M3"/>
    <mergeCell ref="N2:N3"/>
    <mergeCell ref="O2:O3"/>
    <mergeCell ref="P2:P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A8D8-8F10-460B-9E24-D43DFC711CB6}">
  <dimension ref="A1:Q51"/>
  <sheetViews>
    <sheetView view="pageLayout" topLeftCell="B13" zoomScaleNormal="85" zoomScaleSheetLayoutView="85" workbookViewId="0">
      <selection activeCell="S9" sqref="S9"/>
    </sheetView>
  </sheetViews>
  <sheetFormatPr defaultRowHeight="14.4" x14ac:dyDescent="0.3"/>
  <cols>
    <col min="1" max="1" width="13.109375" customWidth="1"/>
    <col min="2" max="2" width="11.33203125" customWidth="1"/>
    <col min="3" max="3" width="7.88671875" customWidth="1"/>
    <col min="4" max="4" width="7.44140625" customWidth="1"/>
    <col min="5" max="5" width="6.88671875" customWidth="1"/>
    <col min="6" max="6" width="5.88671875" customWidth="1"/>
    <col min="8" max="8" width="13.33203125" customWidth="1"/>
    <col min="9" max="9" width="7.88671875" customWidth="1"/>
    <col min="10" max="10" width="7.5546875" customWidth="1"/>
    <col min="13" max="13" width="12.5546875" customWidth="1"/>
    <col min="15" max="15" width="12" customWidth="1"/>
    <col min="16" max="16" width="13.6640625" customWidth="1"/>
    <col min="17" max="17" width="15.44140625" customWidth="1"/>
  </cols>
  <sheetData>
    <row r="1" spans="1:17" ht="18" x14ac:dyDescent="0.35">
      <c r="A1" s="206" t="s">
        <v>626</v>
      </c>
      <c r="B1" s="207"/>
      <c r="C1" s="207"/>
      <c r="D1" s="207"/>
      <c r="E1" s="207"/>
      <c r="F1" s="207"/>
      <c r="G1" s="207"/>
      <c r="H1" s="207"/>
      <c r="I1" s="207"/>
      <c r="J1" s="207"/>
      <c r="K1" s="207"/>
      <c r="L1" s="207"/>
      <c r="M1" s="207"/>
      <c r="N1" s="207"/>
      <c r="O1" s="207"/>
      <c r="P1" s="207"/>
      <c r="Q1" s="208"/>
    </row>
    <row r="2" spans="1:17" ht="81" customHeight="1" x14ac:dyDescent="0.3">
      <c r="A2" s="524" t="s">
        <v>600</v>
      </c>
      <c r="B2" s="524" t="s">
        <v>291</v>
      </c>
      <c r="C2" s="524" t="s">
        <v>601</v>
      </c>
      <c r="D2" s="524"/>
      <c r="E2" s="524" t="s">
        <v>602</v>
      </c>
      <c r="F2" s="524"/>
      <c r="G2" s="524" t="s">
        <v>603</v>
      </c>
      <c r="H2" s="524" t="s">
        <v>604</v>
      </c>
      <c r="I2" s="524" t="s">
        <v>605</v>
      </c>
      <c r="J2" s="524" t="s">
        <v>606</v>
      </c>
      <c r="K2" s="524" t="s">
        <v>607</v>
      </c>
      <c r="L2" s="524" t="s">
        <v>608</v>
      </c>
      <c r="M2" s="524" t="s">
        <v>609</v>
      </c>
      <c r="N2" s="524" t="s">
        <v>610</v>
      </c>
      <c r="O2" s="524" t="s">
        <v>611</v>
      </c>
      <c r="P2" s="524" t="s">
        <v>612</v>
      </c>
      <c r="Q2" s="524" t="s">
        <v>33</v>
      </c>
    </row>
    <row r="3" spans="1:17" ht="15.6" x14ac:dyDescent="0.3">
      <c r="A3" s="524"/>
      <c r="B3" s="524"/>
      <c r="C3" s="53" t="s">
        <v>613</v>
      </c>
      <c r="D3" s="53" t="s">
        <v>614</v>
      </c>
      <c r="E3" s="53" t="s">
        <v>613</v>
      </c>
      <c r="F3" s="53" t="s">
        <v>614</v>
      </c>
      <c r="G3" s="524"/>
      <c r="H3" s="524"/>
      <c r="I3" s="524"/>
      <c r="J3" s="524"/>
      <c r="K3" s="524"/>
      <c r="L3" s="524"/>
      <c r="M3" s="524"/>
      <c r="N3" s="524"/>
      <c r="O3" s="524"/>
      <c r="P3" s="524"/>
      <c r="Q3" s="524"/>
    </row>
    <row r="4" spans="1:17" ht="27.6" x14ac:dyDescent="0.3">
      <c r="A4" s="413" t="s">
        <v>627</v>
      </c>
      <c r="B4" s="234" t="s">
        <v>616</v>
      </c>
      <c r="C4" s="234" t="s">
        <v>628</v>
      </c>
      <c r="D4" s="234" t="s">
        <v>628</v>
      </c>
      <c r="E4" s="234" t="s">
        <v>26</v>
      </c>
      <c r="F4" s="234" t="s">
        <v>26</v>
      </c>
      <c r="G4" s="234" t="s">
        <v>26</v>
      </c>
      <c r="H4" s="515" t="s">
        <v>629</v>
      </c>
      <c r="I4" s="499" t="s">
        <v>630</v>
      </c>
      <c r="J4" s="500"/>
      <c r="K4" s="234" t="s">
        <v>26</v>
      </c>
      <c r="L4" s="234" t="s">
        <v>618</v>
      </c>
      <c r="M4" s="234" t="s">
        <v>619</v>
      </c>
      <c r="N4" s="234" t="s">
        <v>26</v>
      </c>
      <c r="O4" s="249" t="s">
        <v>620</v>
      </c>
      <c r="P4" s="109" t="s">
        <v>621</v>
      </c>
      <c r="Q4" s="515" t="s">
        <v>631</v>
      </c>
    </row>
    <row r="5" spans="1:17" ht="27.6" x14ac:dyDescent="0.3">
      <c r="A5" s="413"/>
      <c r="B5" s="234" t="s">
        <v>622</v>
      </c>
      <c r="C5" s="520">
        <v>559</v>
      </c>
      <c r="D5" s="521"/>
      <c r="E5" s="522" t="s">
        <v>26</v>
      </c>
      <c r="F5" s="523"/>
      <c r="G5" s="49">
        <f>C5/17277</f>
        <v>3.2355154251316777E-2</v>
      </c>
      <c r="H5" s="516"/>
      <c r="I5" s="501"/>
      <c r="J5" s="502"/>
      <c r="K5" s="234" t="s">
        <v>26</v>
      </c>
      <c r="L5" s="234" t="s">
        <v>618</v>
      </c>
      <c r="M5" s="234" t="s">
        <v>619</v>
      </c>
      <c r="N5" s="234" t="s">
        <v>26</v>
      </c>
      <c r="O5" s="249" t="s">
        <v>620</v>
      </c>
      <c r="P5" s="109" t="s">
        <v>621</v>
      </c>
      <c r="Q5" s="516"/>
    </row>
    <row r="6" spans="1:17" ht="27.6" x14ac:dyDescent="0.3">
      <c r="A6" s="413"/>
      <c r="B6" s="234">
        <v>2020</v>
      </c>
      <c r="C6" s="241">
        <v>700</v>
      </c>
      <c r="D6" s="241">
        <v>850</v>
      </c>
      <c r="E6" s="234" t="s">
        <v>26</v>
      </c>
      <c r="F6" s="234" t="s">
        <v>26</v>
      </c>
      <c r="G6" s="49">
        <f t="shared" ref="G6:G21" si="0">((C6+D6)/2)/17277</f>
        <v>4.485732476703131E-2</v>
      </c>
      <c r="H6" s="516"/>
      <c r="I6" s="501"/>
      <c r="J6" s="502"/>
      <c r="K6" s="234" t="s">
        <v>26</v>
      </c>
      <c r="L6" s="234" t="s">
        <v>618</v>
      </c>
      <c r="M6" s="234" t="s">
        <v>619</v>
      </c>
      <c r="N6" s="234" t="s">
        <v>26</v>
      </c>
      <c r="O6" s="249" t="s">
        <v>620</v>
      </c>
      <c r="P6" s="109" t="s">
        <v>621</v>
      </c>
      <c r="Q6" s="516"/>
    </row>
    <row r="7" spans="1:17" ht="27.6" x14ac:dyDescent="0.3">
      <c r="A7" s="413"/>
      <c r="B7" s="234">
        <v>2021</v>
      </c>
      <c r="C7" s="241">
        <v>700</v>
      </c>
      <c r="D7" s="241">
        <v>850</v>
      </c>
      <c r="E7" s="234" t="s">
        <v>26</v>
      </c>
      <c r="F7" s="234" t="s">
        <v>26</v>
      </c>
      <c r="G7" s="49">
        <f t="shared" si="0"/>
        <v>4.485732476703131E-2</v>
      </c>
      <c r="H7" s="516"/>
      <c r="I7" s="501"/>
      <c r="J7" s="502"/>
      <c r="K7" s="234" t="s">
        <v>26</v>
      </c>
      <c r="L7" s="234" t="s">
        <v>618</v>
      </c>
      <c r="M7" s="234" t="s">
        <v>619</v>
      </c>
      <c r="N7" s="234" t="s">
        <v>26</v>
      </c>
      <c r="O7" s="249" t="s">
        <v>620</v>
      </c>
      <c r="P7" s="109" t="s">
        <v>621</v>
      </c>
      <c r="Q7" s="516"/>
    </row>
    <row r="8" spans="1:17" ht="27.6" x14ac:dyDescent="0.3">
      <c r="A8" s="413"/>
      <c r="B8" s="234">
        <v>2022</v>
      </c>
      <c r="C8" s="241">
        <v>700</v>
      </c>
      <c r="D8" s="241">
        <v>850</v>
      </c>
      <c r="E8" s="234" t="s">
        <v>26</v>
      </c>
      <c r="F8" s="234" t="s">
        <v>26</v>
      </c>
      <c r="G8" s="49">
        <f t="shared" si="0"/>
        <v>4.485732476703131E-2</v>
      </c>
      <c r="H8" s="516"/>
      <c r="I8" s="501"/>
      <c r="J8" s="502"/>
      <c r="K8" s="234" t="s">
        <v>26</v>
      </c>
      <c r="L8" s="234" t="s">
        <v>618</v>
      </c>
      <c r="M8" s="234" t="s">
        <v>619</v>
      </c>
      <c r="N8" s="234" t="s">
        <v>26</v>
      </c>
      <c r="O8" s="249" t="s">
        <v>620</v>
      </c>
      <c r="P8" s="109" t="s">
        <v>621</v>
      </c>
      <c r="Q8" s="516"/>
    </row>
    <row r="9" spans="1:17" ht="27.6" x14ac:dyDescent="0.3">
      <c r="A9" s="413"/>
      <c r="B9" s="249" t="s">
        <v>623</v>
      </c>
      <c r="C9" s="241">
        <v>2100</v>
      </c>
      <c r="D9" s="241">
        <v>2550</v>
      </c>
      <c r="E9" s="234" t="s">
        <v>26</v>
      </c>
      <c r="F9" s="234" t="s">
        <v>26</v>
      </c>
      <c r="G9" s="49">
        <f t="shared" si="0"/>
        <v>0.13457197430109394</v>
      </c>
      <c r="H9" s="517"/>
      <c r="I9" s="503"/>
      <c r="J9" s="504"/>
      <c r="K9" s="234" t="s">
        <v>26</v>
      </c>
      <c r="L9" s="234" t="s">
        <v>618</v>
      </c>
      <c r="M9" s="234" t="s">
        <v>619</v>
      </c>
      <c r="N9" s="234" t="s">
        <v>26</v>
      </c>
      <c r="O9" s="249" t="s">
        <v>620</v>
      </c>
      <c r="P9" s="109" t="s">
        <v>621</v>
      </c>
      <c r="Q9" s="517"/>
    </row>
    <row r="10" spans="1:17" ht="27.6" x14ac:dyDescent="0.3">
      <c r="A10" s="413" t="s">
        <v>632</v>
      </c>
      <c r="B10" s="235" t="s">
        <v>616</v>
      </c>
      <c r="C10" s="51">
        <v>480</v>
      </c>
      <c r="D10" s="51">
        <v>720</v>
      </c>
      <c r="E10" s="235" t="s">
        <v>26</v>
      </c>
      <c r="F10" s="235" t="s">
        <v>26</v>
      </c>
      <c r="G10" s="50">
        <f t="shared" si="0"/>
        <v>3.4728251432540373E-2</v>
      </c>
      <c r="H10" s="525" t="s">
        <v>633</v>
      </c>
      <c r="I10" s="235" t="s">
        <v>26</v>
      </c>
      <c r="J10" s="235" t="s">
        <v>26</v>
      </c>
      <c r="K10" s="235" t="s">
        <v>634</v>
      </c>
      <c r="L10" s="235" t="s">
        <v>618</v>
      </c>
      <c r="M10" s="235" t="s">
        <v>619</v>
      </c>
      <c r="N10" s="235" t="s">
        <v>26</v>
      </c>
      <c r="O10" s="250" t="s">
        <v>620</v>
      </c>
      <c r="P10" s="110" t="s">
        <v>621</v>
      </c>
      <c r="Q10" s="110"/>
    </row>
    <row r="11" spans="1:17" ht="27.6" x14ac:dyDescent="0.3">
      <c r="A11" s="413"/>
      <c r="B11" s="235" t="s">
        <v>622</v>
      </c>
      <c r="C11" s="505">
        <v>797</v>
      </c>
      <c r="D11" s="506"/>
      <c r="E11" s="507" t="s">
        <v>26</v>
      </c>
      <c r="F11" s="508"/>
      <c r="G11" s="50">
        <f t="shared" si="0"/>
        <v>2.3065346993112232E-2</v>
      </c>
      <c r="H11" s="526"/>
      <c r="I11" s="235" t="s">
        <v>26</v>
      </c>
      <c r="J11" s="235" t="s">
        <v>26</v>
      </c>
      <c r="K11" s="235" t="s">
        <v>634</v>
      </c>
      <c r="L11" s="235" t="s">
        <v>618</v>
      </c>
      <c r="M11" s="235" t="s">
        <v>619</v>
      </c>
      <c r="N11" s="235" t="s">
        <v>26</v>
      </c>
      <c r="O11" s="250" t="s">
        <v>620</v>
      </c>
      <c r="P11" s="110" t="s">
        <v>621</v>
      </c>
      <c r="Q11" s="110"/>
    </row>
    <row r="12" spans="1:17" ht="27.6" x14ac:dyDescent="0.3">
      <c r="A12" s="413"/>
      <c r="B12" s="235">
        <v>2020</v>
      </c>
      <c r="C12" s="51">
        <v>570</v>
      </c>
      <c r="D12" s="51">
        <v>690</v>
      </c>
      <c r="E12" s="235" t="s">
        <v>26</v>
      </c>
      <c r="F12" s="235" t="s">
        <v>26</v>
      </c>
      <c r="G12" s="50">
        <f t="shared" si="0"/>
        <v>3.6464664004167389E-2</v>
      </c>
      <c r="H12" s="526"/>
      <c r="I12" s="52">
        <v>0</v>
      </c>
      <c r="J12" s="235">
        <v>0</v>
      </c>
      <c r="K12" s="235" t="s">
        <v>634</v>
      </c>
      <c r="L12" s="235" t="s">
        <v>618</v>
      </c>
      <c r="M12" s="235" t="s">
        <v>619</v>
      </c>
      <c r="N12" s="235" t="s">
        <v>26</v>
      </c>
      <c r="O12" s="250" t="s">
        <v>620</v>
      </c>
      <c r="P12" s="110" t="s">
        <v>621</v>
      </c>
      <c r="Q12" s="110"/>
    </row>
    <row r="13" spans="1:17" ht="27.6" x14ac:dyDescent="0.3">
      <c r="A13" s="413"/>
      <c r="B13" s="235">
        <v>2021</v>
      </c>
      <c r="C13" s="51">
        <v>570</v>
      </c>
      <c r="D13" s="51">
        <v>690</v>
      </c>
      <c r="E13" s="235" t="s">
        <v>26</v>
      </c>
      <c r="F13" s="235" t="s">
        <v>26</v>
      </c>
      <c r="G13" s="50">
        <f t="shared" si="0"/>
        <v>3.6464664004167389E-2</v>
      </c>
      <c r="H13" s="526"/>
      <c r="I13" s="52">
        <v>0</v>
      </c>
      <c r="J13" s="235">
        <v>0</v>
      </c>
      <c r="K13" s="235" t="s">
        <v>634</v>
      </c>
      <c r="L13" s="235" t="s">
        <v>618</v>
      </c>
      <c r="M13" s="235" t="s">
        <v>619</v>
      </c>
      <c r="N13" s="235" t="s">
        <v>26</v>
      </c>
      <c r="O13" s="250" t="s">
        <v>620</v>
      </c>
      <c r="P13" s="110" t="s">
        <v>621</v>
      </c>
      <c r="Q13" s="110"/>
    </row>
    <row r="14" spans="1:17" ht="27.6" x14ac:dyDescent="0.3">
      <c r="A14" s="413"/>
      <c r="B14" s="235">
        <v>2022</v>
      </c>
      <c r="C14" s="51">
        <v>0</v>
      </c>
      <c r="D14" s="51">
        <v>0</v>
      </c>
      <c r="E14" s="235" t="s">
        <v>26</v>
      </c>
      <c r="F14" s="235" t="s">
        <v>26</v>
      </c>
      <c r="G14" s="50">
        <f t="shared" si="0"/>
        <v>0</v>
      </c>
      <c r="H14" s="526"/>
      <c r="I14" s="52">
        <v>0</v>
      </c>
      <c r="J14" s="235">
        <v>0</v>
      </c>
      <c r="K14" s="235" t="s">
        <v>634</v>
      </c>
      <c r="L14" s="235" t="s">
        <v>618</v>
      </c>
      <c r="M14" s="235" t="s">
        <v>619</v>
      </c>
      <c r="N14" s="235" t="s">
        <v>26</v>
      </c>
      <c r="O14" s="250" t="s">
        <v>620</v>
      </c>
      <c r="P14" s="110" t="s">
        <v>621</v>
      </c>
      <c r="Q14" s="110"/>
    </row>
    <row r="15" spans="1:17" ht="27.6" x14ac:dyDescent="0.3">
      <c r="A15" s="413"/>
      <c r="B15" s="250" t="s">
        <v>623</v>
      </c>
      <c r="C15" s="51">
        <f>SUM(C12:C14)</f>
        <v>1140</v>
      </c>
      <c r="D15" s="51">
        <f>SUM(D12:D14)</f>
        <v>1380</v>
      </c>
      <c r="E15" s="235" t="s">
        <v>26</v>
      </c>
      <c r="F15" s="235" t="s">
        <v>26</v>
      </c>
      <c r="G15" s="50">
        <f t="shared" si="0"/>
        <v>7.2929328008334779E-2</v>
      </c>
      <c r="H15" s="527"/>
      <c r="I15" s="52">
        <v>0</v>
      </c>
      <c r="J15" s="235">
        <v>0</v>
      </c>
      <c r="K15" s="235" t="s">
        <v>634</v>
      </c>
      <c r="L15" s="235" t="s">
        <v>618</v>
      </c>
      <c r="M15" s="235" t="s">
        <v>619</v>
      </c>
      <c r="N15" s="235" t="s">
        <v>26</v>
      </c>
      <c r="O15" s="250" t="s">
        <v>620</v>
      </c>
      <c r="P15" s="110" t="s">
        <v>621</v>
      </c>
      <c r="Q15" s="110"/>
    </row>
    <row r="16" spans="1:17" ht="27.6" x14ac:dyDescent="0.3">
      <c r="A16" s="413" t="s">
        <v>635</v>
      </c>
      <c r="B16" s="234" t="s">
        <v>616</v>
      </c>
      <c r="C16" s="241">
        <v>1600</v>
      </c>
      <c r="D16" s="241">
        <v>2400</v>
      </c>
      <c r="E16" s="234" t="s">
        <v>26</v>
      </c>
      <c r="F16" s="234" t="s">
        <v>26</v>
      </c>
      <c r="G16" s="49">
        <f t="shared" si="0"/>
        <v>0.11576083810846791</v>
      </c>
      <c r="H16" s="234" t="s">
        <v>26</v>
      </c>
      <c r="I16" s="499" t="s">
        <v>630</v>
      </c>
      <c r="J16" s="500"/>
      <c r="K16" s="234" t="s">
        <v>26</v>
      </c>
      <c r="L16" s="234" t="s">
        <v>618</v>
      </c>
      <c r="M16" s="234" t="s">
        <v>619</v>
      </c>
      <c r="N16" s="234" t="s">
        <v>26</v>
      </c>
      <c r="O16" s="249" t="s">
        <v>620</v>
      </c>
      <c r="P16" s="109" t="s">
        <v>621</v>
      </c>
      <c r="Q16" s="109"/>
    </row>
    <row r="17" spans="1:17" ht="27.6" x14ac:dyDescent="0.3">
      <c r="A17" s="413"/>
      <c r="B17" s="234" t="s">
        <v>622</v>
      </c>
      <c r="C17" s="520">
        <f>1728-866</f>
        <v>862</v>
      </c>
      <c r="D17" s="521"/>
      <c r="E17" s="522" t="s">
        <v>26</v>
      </c>
      <c r="F17" s="523"/>
      <c r="G17" s="49">
        <f t="shared" si="0"/>
        <v>2.4946460612374835E-2</v>
      </c>
      <c r="H17" s="234" t="s">
        <v>26</v>
      </c>
      <c r="I17" s="501"/>
      <c r="J17" s="502"/>
      <c r="K17" s="234" t="s">
        <v>26</v>
      </c>
      <c r="L17" s="234" t="s">
        <v>618</v>
      </c>
      <c r="M17" s="234" t="s">
        <v>619</v>
      </c>
      <c r="N17" s="234" t="s">
        <v>26</v>
      </c>
      <c r="O17" s="249" t="s">
        <v>620</v>
      </c>
      <c r="P17" s="109" t="s">
        <v>621</v>
      </c>
      <c r="Q17" s="109"/>
    </row>
    <row r="18" spans="1:17" ht="27.6" x14ac:dyDescent="0.3">
      <c r="A18" s="413"/>
      <c r="B18" s="234">
        <v>2020</v>
      </c>
      <c r="C18" s="241">
        <v>2000</v>
      </c>
      <c r="D18" s="241">
        <v>3000</v>
      </c>
      <c r="E18" s="234" t="s">
        <v>26</v>
      </c>
      <c r="F18" s="234" t="s">
        <v>26</v>
      </c>
      <c r="G18" s="49">
        <f t="shared" si="0"/>
        <v>0.14470104763558489</v>
      </c>
      <c r="H18" s="234" t="s">
        <v>26</v>
      </c>
      <c r="I18" s="501"/>
      <c r="J18" s="502"/>
      <c r="K18" s="234" t="s">
        <v>26</v>
      </c>
      <c r="L18" s="234" t="s">
        <v>618</v>
      </c>
      <c r="M18" s="234" t="s">
        <v>619</v>
      </c>
      <c r="N18" s="234" t="s">
        <v>26</v>
      </c>
      <c r="O18" s="249" t="s">
        <v>620</v>
      </c>
      <c r="P18" s="109" t="s">
        <v>621</v>
      </c>
      <c r="Q18" s="109"/>
    </row>
    <row r="19" spans="1:17" ht="27.6" x14ac:dyDescent="0.3">
      <c r="A19" s="413"/>
      <c r="B19" s="234">
        <v>2021</v>
      </c>
      <c r="C19" s="241">
        <v>2000</v>
      </c>
      <c r="D19" s="241">
        <v>3000</v>
      </c>
      <c r="E19" s="234" t="s">
        <v>26</v>
      </c>
      <c r="F19" s="234" t="s">
        <v>26</v>
      </c>
      <c r="G19" s="49">
        <f t="shared" si="0"/>
        <v>0.14470104763558489</v>
      </c>
      <c r="H19" s="234" t="s">
        <v>26</v>
      </c>
      <c r="I19" s="501"/>
      <c r="J19" s="502"/>
      <c r="K19" s="234" t="s">
        <v>26</v>
      </c>
      <c r="L19" s="234" t="s">
        <v>618</v>
      </c>
      <c r="M19" s="234" t="s">
        <v>619</v>
      </c>
      <c r="N19" s="234" t="s">
        <v>26</v>
      </c>
      <c r="O19" s="249" t="s">
        <v>620</v>
      </c>
      <c r="P19" s="109" t="s">
        <v>621</v>
      </c>
      <c r="Q19" s="109"/>
    </row>
    <row r="20" spans="1:17" ht="27.6" x14ac:dyDescent="0.3">
      <c r="A20" s="413"/>
      <c r="B20" s="234">
        <v>2022</v>
      </c>
      <c r="C20" s="241">
        <v>2000</v>
      </c>
      <c r="D20" s="241">
        <v>3000</v>
      </c>
      <c r="E20" s="234" t="s">
        <v>26</v>
      </c>
      <c r="F20" s="234" t="s">
        <v>26</v>
      </c>
      <c r="G20" s="49">
        <f t="shared" si="0"/>
        <v>0.14470104763558489</v>
      </c>
      <c r="H20" s="234" t="s">
        <v>26</v>
      </c>
      <c r="I20" s="501"/>
      <c r="J20" s="502"/>
      <c r="K20" s="234" t="s">
        <v>26</v>
      </c>
      <c r="L20" s="234" t="s">
        <v>618</v>
      </c>
      <c r="M20" s="234" t="s">
        <v>619</v>
      </c>
      <c r="N20" s="234" t="s">
        <v>26</v>
      </c>
      <c r="O20" s="249" t="s">
        <v>620</v>
      </c>
      <c r="P20" s="109" t="s">
        <v>621</v>
      </c>
      <c r="Q20" s="109"/>
    </row>
    <row r="21" spans="1:17" ht="27.6" x14ac:dyDescent="0.3">
      <c r="A21" s="413"/>
      <c r="B21" s="249" t="s">
        <v>623</v>
      </c>
      <c r="C21" s="241">
        <f>SUM(C18:C20)</f>
        <v>6000</v>
      </c>
      <c r="D21" s="241">
        <f>SUM(D18:D20)</f>
        <v>9000</v>
      </c>
      <c r="E21" s="234" t="s">
        <v>26</v>
      </c>
      <c r="F21" s="234" t="s">
        <v>26</v>
      </c>
      <c r="G21" s="49">
        <f t="shared" si="0"/>
        <v>0.43410314290675467</v>
      </c>
      <c r="H21" s="234" t="s">
        <v>26</v>
      </c>
      <c r="I21" s="503"/>
      <c r="J21" s="504"/>
      <c r="K21" s="234" t="s">
        <v>26</v>
      </c>
      <c r="L21" s="234" t="s">
        <v>618</v>
      </c>
      <c r="M21" s="234" t="s">
        <v>619</v>
      </c>
      <c r="N21" s="234" t="s">
        <v>26</v>
      </c>
      <c r="O21" s="249" t="s">
        <v>620</v>
      </c>
      <c r="P21" s="109" t="s">
        <v>621</v>
      </c>
      <c r="Q21" s="109"/>
    </row>
    <row r="22" spans="1:17" ht="27.6" x14ac:dyDescent="0.3">
      <c r="A22" s="413" t="s">
        <v>636</v>
      </c>
      <c r="B22" s="235" t="s">
        <v>616</v>
      </c>
      <c r="C22" s="51" t="s">
        <v>26</v>
      </c>
      <c r="D22" s="51" t="s">
        <v>26</v>
      </c>
      <c r="E22" s="235" t="s">
        <v>26</v>
      </c>
      <c r="F22" s="235" t="s">
        <v>26</v>
      </c>
      <c r="G22" s="50" t="s">
        <v>26</v>
      </c>
      <c r="H22" s="235" t="s">
        <v>26</v>
      </c>
      <c r="I22" s="509" t="s">
        <v>630</v>
      </c>
      <c r="J22" s="510"/>
      <c r="K22" s="235" t="s">
        <v>26</v>
      </c>
      <c r="L22" s="235" t="s">
        <v>618</v>
      </c>
      <c r="M22" s="235" t="s">
        <v>619</v>
      </c>
      <c r="N22" s="235" t="s">
        <v>26</v>
      </c>
      <c r="O22" s="250" t="s">
        <v>620</v>
      </c>
      <c r="P22" s="110" t="s">
        <v>621</v>
      </c>
      <c r="Q22" s="110"/>
    </row>
    <row r="23" spans="1:17" ht="27.6" x14ac:dyDescent="0.3">
      <c r="A23" s="413"/>
      <c r="B23" s="235" t="s">
        <v>622</v>
      </c>
      <c r="C23" s="505" t="s">
        <v>26</v>
      </c>
      <c r="D23" s="506"/>
      <c r="E23" s="507" t="s">
        <v>26</v>
      </c>
      <c r="F23" s="508"/>
      <c r="G23" s="50" t="s">
        <v>26</v>
      </c>
      <c r="H23" s="235" t="s">
        <v>26</v>
      </c>
      <c r="I23" s="511"/>
      <c r="J23" s="512"/>
      <c r="K23" s="235" t="s">
        <v>26</v>
      </c>
      <c r="L23" s="235" t="s">
        <v>618</v>
      </c>
      <c r="M23" s="235" t="s">
        <v>619</v>
      </c>
      <c r="N23" s="235" t="s">
        <v>26</v>
      </c>
      <c r="O23" s="250" t="s">
        <v>620</v>
      </c>
      <c r="P23" s="110" t="s">
        <v>621</v>
      </c>
      <c r="Q23" s="110"/>
    </row>
    <row r="24" spans="1:17" ht="27.6" x14ac:dyDescent="0.3">
      <c r="A24" s="413"/>
      <c r="B24" s="235">
        <v>2020</v>
      </c>
      <c r="C24" s="51">
        <f>4500*0.8</f>
        <v>3600</v>
      </c>
      <c r="D24" s="51">
        <f>4500*1.2</f>
        <v>5400</v>
      </c>
      <c r="E24" s="235" t="s">
        <v>26</v>
      </c>
      <c r="F24" s="235" t="s">
        <v>26</v>
      </c>
      <c r="G24" s="50">
        <f>((C24+D24)/2)/17277</f>
        <v>0.26046188574405277</v>
      </c>
      <c r="H24" s="235" t="s">
        <v>26</v>
      </c>
      <c r="I24" s="511"/>
      <c r="J24" s="512"/>
      <c r="K24" s="235" t="s">
        <v>26</v>
      </c>
      <c r="L24" s="235" t="s">
        <v>618</v>
      </c>
      <c r="M24" s="235" t="s">
        <v>619</v>
      </c>
      <c r="N24" s="235" t="s">
        <v>26</v>
      </c>
      <c r="O24" s="250" t="s">
        <v>620</v>
      </c>
      <c r="P24" s="110" t="s">
        <v>621</v>
      </c>
      <c r="Q24" s="110"/>
    </row>
    <row r="25" spans="1:17" ht="27.6" x14ac:dyDescent="0.3">
      <c r="A25" s="413"/>
      <c r="B25" s="235">
        <v>2021</v>
      </c>
      <c r="C25" s="51">
        <v>0</v>
      </c>
      <c r="D25" s="51">
        <v>0</v>
      </c>
      <c r="E25" s="235" t="s">
        <v>26</v>
      </c>
      <c r="F25" s="235" t="s">
        <v>26</v>
      </c>
      <c r="G25" s="50">
        <f>((C25+D25)/2)/17277</f>
        <v>0</v>
      </c>
      <c r="H25" s="235" t="s">
        <v>26</v>
      </c>
      <c r="I25" s="511"/>
      <c r="J25" s="512"/>
      <c r="K25" s="235" t="s">
        <v>26</v>
      </c>
      <c r="L25" s="235" t="s">
        <v>618</v>
      </c>
      <c r="M25" s="235" t="s">
        <v>619</v>
      </c>
      <c r="N25" s="235" t="s">
        <v>26</v>
      </c>
      <c r="O25" s="250" t="s">
        <v>620</v>
      </c>
      <c r="P25" s="110" t="s">
        <v>621</v>
      </c>
      <c r="Q25" s="110"/>
    </row>
    <row r="26" spans="1:17" ht="27.6" x14ac:dyDescent="0.3">
      <c r="A26" s="413"/>
      <c r="B26" s="235">
        <v>2022</v>
      </c>
      <c r="C26" s="51">
        <v>0</v>
      </c>
      <c r="D26" s="51">
        <v>0</v>
      </c>
      <c r="E26" s="235" t="s">
        <v>26</v>
      </c>
      <c r="F26" s="235" t="s">
        <v>26</v>
      </c>
      <c r="G26" s="50">
        <f>((C26+D26)/2)/17277</f>
        <v>0</v>
      </c>
      <c r="H26" s="235" t="s">
        <v>26</v>
      </c>
      <c r="I26" s="511"/>
      <c r="J26" s="512"/>
      <c r="K26" s="235" t="s">
        <v>26</v>
      </c>
      <c r="L26" s="235" t="s">
        <v>618</v>
      </c>
      <c r="M26" s="235" t="s">
        <v>619</v>
      </c>
      <c r="N26" s="235" t="s">
        <v>26</v>
      </c>
      <c r="O26" s="250" t="s">
        <v>620</v>
      </c>
      <c r="P26" s="110" t="s">
        <v>621</v>
      </c>
      <c r="Q26" s="110"/>
    </row>
    <row r="27" spans="1:17" ht="27.6" x14ac:dyDescent="0.3">
      <c r="A27" s="413"/>
      <c r="B27" s="250" t="s">
        <v>623</v>
      </c>
      <c r="C27" s="51">
        <f>SUM(C24:C26)</f>
        <v>3600</v>
      </c>
      <c r="D27" s="51">
        <f>SUM(D24:D26)</f>
        <v>5400</v>
      </c>
      <c r="E27" s="235" t="s">
        <v>26</v>
      </c>
      <c r="F27" s="235" t="s">
        <v>26</v>
      </c>
      <c r="G27" s="50">
        <f>((C27+D27)/2)/17277</f>
        <v>0.26046188574405277</v>
      </c>
      <c r="H27" s="235" t="s">
        <v>26</v>
      </c>
      <c r="I27" s="513"/>
      <c r="J27" s="514"/>
      <c r="K27" s="235" t="s">
        <v>26</v>
      </c>
      <c r="L27" s="235" t="s">
        <v>618</v>
      </c>
      <c r="M27" s="235" t="s">
        <v>619</v>
      </c>
      <c r="N27" s="235" t="s">
        <v>26</v>
      </c>
      <c r="O27" s="250" t="s">
        <v>620</v>
      </c>
      <c r="P27" s="110" t="s">
        <v>621</v>
      </c>
      <c r="Q27" s="110"/>
    </row>
    <row r="28" spans="1:17" ht="27.6" x14ac:dyDescent="0.3">
      <c r="A28" s="413" t="s">
        <v>637</v>
      </c>
      <c r="B28" s="234" t="s">
        <v>616</v>
      </c>
      <c r="C28" s="234" t="s">
        <v>26</v>
      </c>
      <c r="D28" s="234" t="s">
        <v>26</v>
      </c>
      <c r="E28" s="234" t="s">
        <v>26</v>
      </c>
      <c r="F28" s="234" t="s">
        <v>26</v>
      </c>
      <c r="G28" s="234" t="s">
        <v>26</v>
      </c>
      <c r="H28" s="234" t="s">
        <v>26</v>
      </c>
      <c r="I28" s="499" t="s">
        <v>630</v>
      </c>
      <c r="J28" s="500"/>
      <c r="K28" s="234" t="s">
        <v>26</v>
      </c>
      <c r="L28" s="234" t="s">
        <v>26</v>
      </c>
      <c r="M28" s="234" t="s">
        <v>26</v>
      </c>
      <c r="N28" s="234" t="s">
        <v>26</v>
      </c>
      <c r="O28" s="249" t="s">
        <v>620</v>
      </c>
      <c r="P28" s="109" t="s">
        <v>621</v>
      </c>
      <c r="Q28" s="109"/>
    </row>
    <row r="29" spans="1:17" ht="27.6" x14ac:dyDescent="0.3">
      <c r="A29" s="413"/>
      <c r="B29" s="234" t="s">
        <v>622</v>
      </c>
      <c r="C29" s="518" t="s">
        <v>26</v>
      </c>
      <c r="D29" s="518"/>
      <c r="E29" s="518" t="s">
        <v>26</v>
      </c>
      <c r="F29" s="518"/>
      <c r="G29" s="234" t="s">
        <v>26</v>
      </c>
      <c r="H29" s="234" t="s">
        <v>26</v>
      </c>
      <c r="I29" s="501"/>
      <c r="J29" s="502"/>
      <c r="K29" s="234" t="s">
        <v>26</v>
      </c>
      <c r="L29" s="234" t="s">
        <v>26</v>
      </c>
      <c r="M29" s="234" t="s">
        <v>26</v>
      </c>
      <c r="N29" s="234" t="s">
        <v>26</v>
      </c>
      <c r="O29" s="249" t="s">
        <v>620</v>
      </c>
      <c r="P29" s="109" t="s">
        <v>621</v>
      </c>
      <c r="Q29" s="109"/>
    </row>
    <row r="30" spans="1:17" ht="27.6" x14ac:dyDescent="0.3">
      <c r="A30" s="413"/>
      <c r="B30" s="234">
        <v>2020</v>
      </c>
      <c r="C30" s="241">
        <v>1900</v>
      </c>
      <c r="D30" s="241">
        <v>2300</v>
      </c>
      <c r="E30" s="234" t="s">
        <v>26</v>
      </c>
      <c r="F30" s="234" t="s">
        <v>26</v>
      </c>
      <c r="G30" s="49">
        <f>((C30+D30)/2)/17277</f>
        <v>0.1215488800138913</v>
      </c>
      <c r="H30" s="234" t="s">
        <v>26</v>
      </c>
      <c r="I30" s="501"/>
      <c r="J30" s="502"/>
      <c r="K30" s="234" t="s">
        <v>26</v>
      </c>
      <c r="L30" s="234" t="s">
        <v>625</v>
      </c>
      <c r="M30" s="234" t="s">
        <v>26</v>
      </c>
      <c r="N30" s="234" t="s">
        <v>638</v>
      </c>
      <c r="O30" s="249" t="s">
        <v>620</v>
      </c>
      <c r="P30" s="109" t="s">
        <v>621</v>
      </c>
      <c r="Q30" s="109"/>
    </row>
    <row r="31" spans="1:17" ht="27.6" x14ac:dyDescent="0.3">
      <c r="A31" s="413"/>
      <c r="B31" s="234">
        <v>2021</v>
      </c>
      <c r="C31" s="241">
        <v>1900</v>
      </c>
      <c r="D31" s="241">
        <v>2300</v>
      </c>
      <c r="E31" s="234" t="s">
        <v>26</v>
      </c>
      <c r="F31" s="234" t="s">
        <v>26</v>
      </c>
      <c r="G31" s="49">
        <f>((C31+D31)/2)/17277</f>
        <v>0.1215488800138913</v>
      </c>
      <c r="H31" s="234" t="s">
        <v>26</v>
      </c>
      <c r="I31" s="501"/>
      <c r="J31" s="502"/>
      <c r="K31" s="234" t="s">
        <v>26</v>
      </c>
      <c r="L31" s="234" t="s">
        <v>625</v>
      </c>
      <c r="M31" s="234" t="s">
        <v>26</v>
      </c>
      <c r="N31" s="234" t="s">
        <v>638</v>
      </c>
      <c r="O31" s="249" t="s">
        <v>620</v>
      </c>
      <c r="P31" s="109" t="s">
        <v>621</v>
      </c>
      <c r="Q31" s="109"/>
    </row>
    <row r="32" spans="1:17" ht="27.6" x14ac:dyDescent="0.3">
      <c r="A32" s="413"/>
      <c r="B32" s="234">
        <v>2022</v>
      </c>
      <c r="C32" s="241">
        <v>1900</v>
      </c>
      <c r="D32" s="241">
        <v>2300</v>
      </c>
      <c r="E32" s="234" t="s">
        <v>26</v>
      </c>
      <c r="F32" s="234" t="s">
        <v>26</v>
      </c>
      <c r="G32" s="49">
        <f>((C32+D32)/2)/17277</f>
        <v>0.1215488800138913</v>
      </c>
      <c r="H32" s="234" t="s">
        <v>26</v>
      </c>
      <c r="I32" s="501"/>
      <c r="J32" s="502"/>
      <c r="K32" s="234" t="s">
        <v>26</v>
      </c>
      <c r="L32" s="234" t="s">
        <v>625</v>
      </c>
      <c r="M32" s="234" t="s">
        <v>26</v>
      </c>
      <c r="N32" s="234" t="s">
        <v>638</v>
      </c>
      <c r="O32" s="249" t="s">
        <v>620</v>
      </c>
      <c r="P32" s="109" t="s">
        <v>621</v>
      </c>
      <c r="Q32" s="109"/>
    </row>
    <row r="33" spans="1:17" ht="27.6" x14ac:dyDescent="0.3">
      <c r="A33" s="413"/>
      <c r="B33" s="249" t="s">
        <v>623</v>
      </c>
      <c r="C33" s="241">
        <f>SUM(C30:C32)</f>
        <v>5700</v>
      </c>
      <c r="D33" s="241">
        <f>SUM(D30:D32)</f>
        <v>6900</v>
      </c>
      <c r="E33" s="234" t="s">
        <v>26</v>
      </c>
      <c r="F33" s="234" t="s">
        <v>26</v>
      </c>
      <c r="G33" s="49">
        <f>((C33+D33)/2)/17277</f>
        <v>0.36464664004167391</v>
      </c>
      <c r="H33" s="234" t="s">
        <v>26</v>
      </c>
      <c r="I33" s="503"/>
      <c r="J33" s="504"/>
      <c r="K33" s="234" t="s">
        <v>26</v>
      </c>
      <c r="L33" s="234" t="s">
        <v>625</v>
      </c>
      <c r="M33" s="234" t="s">
        <v>26</v>
      </c>
      <c r="N33" s="234" t="s">
        <v>638</v>
      </c>
      <c r="O33" s="249" t="s">
        <v>620</v>
      </c>
      <c r="P33" s="109" t="s">
        <v>621</v>
      </c>
      <c r="Q33" s="109"/>
    </row>
    <row r="34" spans="1:17" ht="27.6" x14ac:dyDescent="0.3">
      <c r="A34" s="413" t="s">
        <v>639</v>
      </c>
      <c r="B34" s="235" t="s">
        <v>616</v>
      </c>
      <c r="C34" s="235" t="s">
        <v>26</v>
      </c>
      <c r="D34" s="235" t="s">
        <v>26</v>
      </c>
      <c r="E34" s="235" t="s">
        <v>26</v>
      </c>
      <c r="F34" s="235" t="s">
        <v>26</v>
      </c>
      <c r="G34" s="235" t="s">
        <v>26</v>
      </c>
      <c r="H34" s="235" t="s">
        <v>26</v>
      </c>
      <c r="I34" s="509" t="s">
        <v>630</v>
      </c>
      <c r="J34" s="510"/>
      <c r="K34" s="235" t="s">
        <v>26</v>
      </c>
      <c r="L34" s="235" t="s">
        <v>26</v>
      </c>
      <c r="M34" s="235" t="s">
        <v>26</v>
      </c>
      <c r="N34" s="235" t="s">
        <v>26</v>
      </c>
      <c r="O34" s="250" t="s">
        <v>620</v>
      </c>
      <c r="P34" s="110" t="s">
        <v>621</v>
      </c>
      <c r="Q34" s="110"/>
    </row>
    <row r="35" spans="1:17" ht="27.6" x14ac:dyDescent="0.3">
      <c r="A35" s="413"/>
      <c r="B35" s="235" t="s">
        <v>622</v>
      </c>
      <c r="C35" s="519" t="s">
        <v>26</v>
      </c>
      <c r="D35" s="519"/>
      <c r="E35" s="519" t="s">
        <v>26</v>
      </c>
      <c r="F35" s="519"/>
      <c r="G35" s="235" t="s">
        <v>26</v>
      </c>
      <c r="H35" s="235" t="s">
        <v>26</v>
      </c>
      <c r="I35" s="511"/>
      <c r="J35" s="512"/>
      <c r="K35" s="235" t="s">
        <v>26</v>
      </c>
      <c r="L35" s="235" t="s">
        <v>26</v>
      </c>
      <c r="M35" s="235" t="s">
        <v>26</v>
      </c>
      <c r="N35" s="235" t="s">
        <v>26</v>
      </c>
      <c r="O35" s="250" t="s">
        <v>620</v>
      </c>
      <c r="P35" s="110" t="s">
        <v>621</v>
      </c>
      <c r="Q35" s="110"/>
    </row>
    <row r="36" spans="1:17" ht="27.6" x14ac:dyDescent="0.3">
      <c r="A36" s="413"/>
      <c r="B36" s="235">
        <v>2020</v>
      </c>
      <c r="C36" s="51">
        <v>285</v>
      </c>
      <c r="D36" s="51">
        <v>345</v>
      </c>
      <c r="E36" s="235" t="s">
        <v>26</v>
      </c>
      <c r="F36" s="235" t="s">
        <v>26</v>
      </c>
      <c r="G36" s="50">
        <f>((C36+D36)/2)/17277</f>
        <v>1.8232332002083695E-2</v>
      </c>
      <c r="H36" s="235" t="s">
        <v>26</v>
      </c>
      <c r="I36" s="511"/>
      <c r="J36" s="512"/>
      <c r="K36" s="235" t="s">
        <v>26</v>
      </c>
      <c r="L36" s="235" t="s">
        <v>625</v>
      </c>
      <c r="M36" s="235" t="s">
        <v>26</v>
      </c>
      <c r="N36" s="235" t="s">
        <v>638</v>
      </c>
      <c r="O36" s="250" t="s">
        <v>620</v>
      </c>
      <c r="P36" s="110" t="s">
        <v>621</v>
      </c>
      <c r="Q36" s="110"/>
    </row>
    <row r="37" spans="1:17" ht="27.6" x14ac:dyDescent="0.3">
      <c r="A37" s="413"/>
      <c r="B37" s="235">
        <v>2021</v>
      </c>
      <c r="C37" s="51">
        <v>285</v>
      </c>
      <c r="D37" s="51">
        <v>345</v>
      </c>
      <c r="E37" s="235" t="s">
        <v>26</v>
      </c>
      <c r="F37" s="235" t="s">
        <v>26</v>
      </c>
      <c r="G37" s="50">
        <f>((C37+D37)/2)/17277</f>
        <v>1.8232332002083695E-2</v>
      </c>
      <c r="H37" s="235" t="s">
        <v>26</v>
      </c>
      <c r="I37" s="511"/>
      <c r="J37" s="512"/>
      <c r="K37" s="235" t="s">
        <v>26</v>
      </c>
      <c r="L37" s="235" t="s">
        <v>625</v>
      </c>
      <c r="M37" s="235" t="s">
        <v>26</v>
      </c>
      <c r="N37" s="235" t="s">
        <v>638</v>
      </c>
      <c r="O37" s="250" t="s">
        <v>620</v>
      </c>
      <c r="P37" s="110" t="s">
        <v>621</v>
      </c>
      <c r="Q37" s="110"/>
    </row>
    <row r="38" spans="1:17" ht="27.6" x14ac:dyDescent="0.3">
      <c r="A38" s="413"/>
      <c r="B38" s="235">
        <v>2022</v>
      </c>
      <c r="C38" s="51">
        <v>285</v>
      </c>
      <c r="D38" s="51">
        <v>345</v>
      </c>
      <c r="E38" s="235" t="s">
        <v>26</v>
      </c>
      <c r="F38" s="235" t="s">
        <v>26</v>
      </c>
      <c r="G38" s="50">
        <f>((C38+D38)/2)/17277</f>
        <v>1.8232332002083695E-2</v>
      </c>
      <c r="H38" s="235" t="s">
        <v>26</v>
      </c>
      <c r="I38" s="511"/>
      <c r="J38" s="512"/>
      <c r="K38" s="235" t="s">
        <v>26</v>
      </c>
      <c r="L38" s="235" t="s">
        <v>625</v>
      </c>
      <c r="M38" s="235" t="s">
        <v>26</v>
      </c>
      <c r="N38" s="235" t="s">
        <v>638</v>
      </c>
      <c r="O38" s="250" t="s">
        <v>620</v>
      </c>
      <c r="P38" s="110" t="s">
        <v>621</v>
      </c>
      <c r="Q38" s="110"/>
    </row>
    <row r="39" spans="1:17" ht="27.6" x14ac:dyDescent="0.3">
      <c r="A39" s="413"/>
      <c r="B39" s="250" t="s">
        <v>623</v>
      </c>
      <c r="C39" s="51">
        <f>SUM(C36:C38)</f>
        <v>855</v>
      </c>
      <c r="D39" s="51">
        <f>SUM(D36:D38)</f>
        <v>1035</v>
      </c>
      <c r="E39" s="235" t="s">
        <v>26</v>
      </c>
      <c r="F39" s="235" t="s">
        <v>26</v>
      </c>
      <c r="G39" s="50">
        <f>((C39+D39)/2)/17277</f>
        <v>5.4696996006251088E-2</v>
      </c>
      <c r="H39" s="235" t="s">
        <v>26</v>
      </c>
      <c r="I39" s="513"/>
      <c r="J39" s="514"/>
      <c r="K39" s="235" t="s">
        <v>26</v>
      </c>
      <c r="L39" s="235" t="s">
        <v>625</v>
      </c>
      <c r="M39" s="235" t="s">
        <v>26</v>
      </c>
      <c r="N39" s="235" t="s">
        <v>638</v>
      </c>
      <c r="O39" s="250" t="s">
        <v>620</v>
      </c>
      <c r="P39" s="110" t="s">
        <v>621</v>
      </c>
      <c r="Q39" s="110"/>
    </row>
    <row r="40" spans="1:17" ht="27.6" x14ac:dyDescent="0.3">
      <c r="A40" s="413" t="s">
        <v>640</v>
      </c>
      <c r="B40" s="234" t="s">
        <v>616</v>
      </c>
      <c r="C40" s="234" t="s">
        <v>641</v>
      </c>
      <c r="D40" s="234" t="s">
        <v>641</v>
      </c>
      <c r="E40" s="234" t="s">
        <v>26</v>
      </c>
      <c r="F40" s="234" t="s">
        <v>26</v>
      </c>
      <c r="G40" s="234" t="s">
        <v>26</v>
      </c>
      <c r="H40" s="515" t="s">
        <v>642</v>
      </c>
      <c r="I40" s="234" t="s">
        <v>26</v>
      </c>
      <c r="J40" s="234" t="s">
        <v>26</v>
      </c>
      <c r="K40" s="234" t="s">
        <v>26</v>
      </c>
      <c r="L40" s="234" t="s">
        <v>618</v>
      </c>
      <c r="M40" s="234" t="s">
        <v>619</v>
      </c>
      <c r="N40" s="234" t="s">
        <v>26</v>
      </c>
      <c r="O40" s="249" t="s">
        <v>620</v>
      </c>
      <c r="P40" s="109" t="s">
        <v>621</v>
      </c>
      <c r="Q40" s="109"/>
    </row>
    <row r="41" spans="1:17" ht="27.6" x14ac:dyDescent="0.3">
      <c r="A41" s="413"/>
      <c r="B41" s="234" t="s">
        <v>622</v>
      </c>
      <c r="C41" s="234" t="s">
        <v>641</v>
      </c>
      <c r="D41" s="234" t="s">
        <v>641</v>
      </c>
      <c r="E41" s="234" t="s">
        <v>26</v>
      </c>
      <c r="F41" s="234" t="s">
        <v>26</v>
      </c>
      <c r="G41" s="234" t="s">
        <v>26</v>
      </c>
      <c r="H41" s="516"/>
      <c r="I41" s="234" t="s">
        <v>26</v>
      </c>
      <c r="J41" s="234" t="s">
        <v>26</v>
      </c>
      <c r="K41" s="234" t="s">
        <v>26</v>
      </c>
      <c r="L41" s="234" t="s">
        <v>618</v>
      </c>
      <c r="M41" s="234" t="s">
        <v>619</v>
      </c>
      <c r="N41" s="234" t="s">
        <v>26</v>
      </c>
      <c r="O41" s="249" t="s">
        <v>620</v>
      </c>
      <c r="P41" s="109" t="s">
        <v>621</v>
      </c>
      <c r="Q41" s="109"/>
    </row>
    <row r="42" spans="1:17" ht="27.6" x14ac:dyDescent="0.3">
      <c r="A42" s="413"/>
      <c r="B42" s="234">
        <v>2020</v>
      </c>
      <c r="C42" s="234" t="s">
        <v>641</v>
      </c>
      <c r="D42" s="234" t="s">
        <v>641</v>
      </c>
      <c r="E42" s="234" t="s">
        <v>26</v>
      </c>
      <c r="F42" s="234" t="s">
        <v>26</v>
      </c>
      <c r="G42" s="234" t="s">
        <v>26</v>
      </c>
      <c r="H42" s="516"/>
      <c r="I42" s="234" t="s">
        <v>26</v>
      </c>
      <c r="J42" s="234" t="s">
        <v>26</v>
      </c>
      <c r="K42" s="234" t="s">
        <v>26</v>
      </c>
      <c r="L42" s="234" t="s">
        <v>618</v>
      </c>
      <c r="M42" s="234" t="s">
        <v>619</v>
      </c>
      <c r="N42" s="234" t="s">
        <v>26</v>
      </c>
      <c r="O42" s="249" t="s">
        <v>620</v>
      </c>
      <c r="P42" s="109" t="s">
        <v>621</v>
      </c>
      <c r="Q42" s="109"/>
    </row>
    <row r="43" spans="1:17" ht="27.6" x14ac:dyDescent="0.3">
      <c r="A43" s="413"/>
      <c r="B43" s="234">
        <v>2021</v>
      </c>
      <c r="C43" s="234" t="s">
        <v>641</v>
      </c>
      <c r="D43" s="234" t="s">
        <v>641</v>
      </c>
      <c r="E43" s="234" t="s">
        <v>26</v>
      </c>
      <c r="F43" s="234" t="s">
        <v>26</v>
      </c>
      <c r="G43" s="234" t="s">
        <v>26</v>
      </c>
      <c r="H43" s="516"/>
      <c r="I43" s="234" t="s">
        <v>26</v>
      </c>
      <c r="J43" s="234" t="s">
        <v>26</v>
      </c>
      <c r="K43" s="234" t="s">
        <v>26</v>
      </c>
      <c r="L43" s="234" t="s">
        <v>618</v>
      </c>
      <c r="M43" s="234" t="s">
        <v>619</v>
      </c>
      <c r="N43" s="234" t="s">
        <v>26</v>
      </c>
      <c r="O43" s="249" t="s">
        <v>620</v>
      </c>
      <c r="P43" s="109" t="s">
        <v>621</v>
      </c>
      <c r="Q43" s="109"/>
    </row>
    <row r="44" spans="1:17" ht="27.6" x14ac:dyDescent="0.3">
      <c r="A44" s="413"/>
      <c r="B44" s="234">
        <v>2022</v>
      </c>
      <c r="C44" s="234" t="s">
        <v>641</v>
      </c>
      <c r="D44" s="234" t="s">
        <v>641</v>
      </c>
      <c r="E44" s="234" t="s">
        <v>26</v>
      </c>
      <c r="F44" s="234" t="s">
        <v>26</v>
      </c>
      <c r="G44" s="234" t="s">
        <v>26</v>
      </c>
      <c r="H44" s="516"/>
      <c r="I44" s="234" t="s">
        <v>26</v>
      </c>
      <c r="J44" s="234" t="s">
        <v>26</v>
      </c>
      <c r="K44" s="234" t="s">
        <v>26</v>
      </c>
      <c r="L44" s="234" t="s">
        <v>618</v>
      </c>
      <c r="M44" s="234" t="s">
        <v>619</v>
      </c>
      <c r="N44" s="234" t="s">
        <v>26</v>
      </c>
      <c r="O44" s="249" t="s">
        <v>620</v>
      </c>
      <c r="P44" s="109" t="s">
        <v>621</v>
      </c>
      <c r="Q44" s="109"/>
    </row>
    <row r="45" spans="1:17" ht="27.6" x14ac:dyDescent="0.3">
      <c r="A45" s="413"/>
      <c r="B45" s="249" t="s">
        <v>623</v>
      </c>
      <c r="C45" s="234" t="s">
        <v>641</v>
      </c>
      <c r="D45" s="234" t="s">
        <v>641</v>
      </c>
      <c r="E45" s="234" t="s">
        <v>26</v>
      </c>
      <c r="F45" s="234" t="s">
        <v>26</v>
      </c>
      <c r="G45" s="234" t="s">
        <v>26</v>
      </c>
      <c r="H45" s="517"/>
      <c r="I45" s="234" t="s">
        <v>26</v>
      </c>
      <c r="J45" s="234" t="s">
        <v>26</v>
      </c>
      <c r="K45" s="234" t="s">
        <v>26</v>
      </c>
      <c r="L45" s="234" t="s">
        <v>618</v>
      </c>
      <c r="M45" s="234" t="s">
        <v>619</v>
      </c>
      <c r="N45" s="234" t="s">
        <v>26</v>
      </c>
      <c r="O45" s="249" t="s">
        <v>620</v>
      </c>
      <c r="P45" s="109" t="s">
        <v>621</v>
      </c>
      <c r="Q45" s="109"/>
    </row>
    <row r="46" spans="1:17" ht="27.6" x14ac:dyDescent="0.3">
      <c r="A46" s="410" t="s">
        <v>643</v>
      </c>
      <c r="B46" s="235" t="s">
        <v>616</v>
      </c>
      <c r="C46" s="235" t="s">
        <v>26</v>
      </c>
      <c r="D46" s="235" t="s">
        <v>26</v>
      </c>
      <c r="E46" s="235" t="s">
        <v>26</v>
      </c>
      <c r="F46" s="235" t="s">
        <v>26</v>
      </c>
      <c r="G46" s="235" t="s">
        <v>26</v>
      </c>
      <c r="H46" s="235" t="s">
        <v>26</v>
      </c>
      <c r="I46" s="235" t="s">
        <v>26</v>
      </c>
      <c r="J46" s="235" t="s">
        <v>26</v>
      </c>
      <c r="K46" s="235" t="s">
        <v>26</v>
      </c>
      <c r="L46" s="235" t="s">
        <v>26</v>
      </c>
      <c r="M46" s="235" t="s">
        <v>26</v>
      </c>
      <c r="N46" s="235" t="s">
        <v>26</v>
      </c>
      <c r="O46" s="250" t="s">
        <v>620</v>
      </c>
      <c r="P46" s="110" t="s">
        <v>621</v>
      </c>
      <c r="Q46" s="110"/>
    </row>
    <row r="47" spans="1:17" ht="27.6" x14ac:dyDescent="0.3">
      <c r="A47" s="412"/>
      <c r="B47" s="235" t="s">
        <v>622</v>
      </c>
      <c r="C47" s="507" t="s">
        <v>26</v>
      </c>
      <c r="D47" s="508"/>
      <c r="E47" s="507" t="s">
        <v>26</v>
      </c>
      <c r="F47" s="508"/>
      <c r="G47" s="235" t="s">
        <v>26</v>
      </c>
      <c r="H47" s="235" t="s">
        <v>26</v>
      </c>
      <c r="I47" s="235" t="s">
        <v>26</v>
      </c>
      <c r="J47" s="235" t="s">
        <v>26</v>
      </c>
      <c r="K47" s="235" t="s">
        <v>26</v>
      </c>
      <c r="L47" s="235" t="s">
        <v>26</v>
      </c>
      <c r="M47" s="235" t="s">
        <v>26</v>
      </c>
      <c r="N47" s="235" t="s">
        <v>26</v>
      </c>
      <c r="O47" s="250" t="s">
        <v>620</v>
      </c>
      <c r="P47" s="110" t="s">
        <v>621</v>
      </c>
      <c r="Q47" s="110"/>
    </row>
    <row r="48" spans="1:17" ht="27.6" x14ac:dyDescent="0.3">
      <c r="A48" s="412"/>
      <c r="B48" s="235">
        <v>2020</v>
      </c>
      <c r="C48" s="51">
        <v>475</v>
      </c>
      <c r="D48" s="51">
        <v>575</v>
      </c>
      <c r="E48" s="235" t="s">
        <v>26</v>
      </c>
      <c r="F48" s="235" t="s">
        <v>26</v>
      </c>
      <c r="G48" s="50">
        <f>((C48+D48)/2)/17277</f>
        <v>3.0387220003472826E-2</v>
      </c>
      <c r="H48" s="235" t="s">
        <v>26</v>
      </c>
      <c r="I48" s="52">
        <v>0</v>
      </c>
      <c r="J48" s="235">
        <v>0</v>
      </c>
      <c r="K48" s="235" t="s">
        <v>26</v>
      </c>
      <c r="L48" s="235" t="s">
        <v>625</v>
      </c>
      <c r="M48" s="235" t="s">
        <v>26</v>
      </c>
      <c r="N48" s="235" t="s">
        <v>638</v>
      </c>
      <c r="O48" s="250" t="s">
        <v>620</v>
      </c>
      <c r="P48" s="110" t="s">
        <v>621</v>
      </c>
      <c r="Q48" s="110"/>
    </row>
    <row r="49" spans="1:17" ht="27.6" x14ac:dyDescent="0.3">
      <c r="A49" s="412"/>
      <c r="B49" s="235">
        <v>2021</v>
      </c>
      <c r="C49" s="51">
        <v>475</v>
      </c>
      <c r="D49" s="51">
        <v>575</v>
      </c>
      <c r="E49" s="235" t="s">
        <v>26</v>
      </c>
      <c r="F49" s="235" t="s">
        <v>26</v>
      </c>
      <c r="G49" s="50">
        <f>((C49+D49)/2)/17277</f>
        <v>3.0387220003472826E-2</v>
      </c>
      <c r="H49" s="235" t="s">
        <v>26</v>
      </c>
      <c r="I49" s="52">
        <v>0</v>
      </c>
      <c r="J49" s="235">
        <v>0</v>
      </c>
      <c r="K49" s="235" t="s">
        <v>26</v>
      </c>
      <c r="L49" s="235" t="s">
        <v>625</v>
      </c>
      <c r="M49" s="235" t="s">
        <v>26</v>
      </c>
      <c r="N49" s="235" t="s">
        <v>638</v>
      </c>
      <c r="O49" s="250" t="s">
        <v>620</v>
      </c>
      <c r="P49" s="110" t="s">
        <v>621</v>
      </c>
      <c r="Q49" s="110"/>
    </row>
    <row r="50" spans="1:17" ht="27.6" x14ac:dyDescent="0.3">
      <c r="A50" s="412"/>
      <c r="B50" s="235">
        <v>2022</v>
      </c>
      <c r="C50" s="51">
        <v>475</v>
      </c>
      <c r="D50" s="51">
        <v>575</v>
      </c>
      <c r="E50" s="235" t="s">
        <v>26</v>
      </c>
      <c r="F50" s="235" t="s">
        <v>26</v>
      </c>
      <c r="G50" s="50">
        <f>((C50+D50)/2)/17277</f>
        <v>3.0387220003472826E-2</v>
      </c>
      <c r="H50" s="235" t="s">
        <v>26</v>
      </c>
      <c r="I50" s="52">
        <v>0</v>
      </c>
      <c r="J50" s="235">
        <v>0</v>
      </c>
      <c r="K50" s="235" t="s">
        <v>26</v>
      </c>
      <c r="L50" s="235" t="s">
        <v>625</v>
      </c>
      <c r="M50" s="235" t="s">
        <v>26</v>
      </c>
      <c r="N50" s="235" t="s">
        <v>638</v>
      </c>
      <c r="O50" s="250" t="s">
        <v>620</v>
      </c>
      <c r="P50" s="110" t="s">
        <v>621</v>
      </c>
      <c r="Q50" s="110"/>
    </row>
    <row r="51" spans="1:17" ht="27.6" x14ac:dyDescent="0.3">
      <c r="A51" s="411"/>
      <c r="B51" s="250" t="s">
        <v>623</v>
      </c>
      <c r="C51" s="51">
        <f>SUM(C48:C50)</f>
        <v>1425</v>
      </c>
      <c r="D51" s="51">
        <f>SUM(D48:D50)</f>
        <v>1725</v>
      </c>
      <c r="E51" s="235" t="s">
        <v>26</v>
      </c>
      <c r="F51" s="235" t="s">
        <v>26</v>
      </c>
      <c r="G51" s="50">
        <f>((C51+D51)/2)/17277</f>
        <v>9.1161660010418477E-2</v>
      </c>
      <c r="H51" s="235" t="s">
        <v>26</v>
      </c>
      <c r="I51" s="52">
        <v>0</v>
      </c>
      <c r="J51" s="235">
        <v>0</v>
      </c>
      <c r="K51" s="235" t="s">
        <v>26</v>
      </c>
      <c r="L51" s="235" t="s">
        <v>625</v>
      </c>
      <c r="M51" s="235" t="s">
        <v>26</v>
      </c>
      <c r="N51" s="235" t="s">
        <v>638</v>
      </c>
      <c r="O51" s="250" t="s">
        <v>620</v>
      </c>
      <c r="P51" s="110" t="s">
        <v>621</v>
      </c>
      <c r="Q51" s="110"/>
    </row>
  </sheetData>
  <mergeCells count="46">
    <mergeCell ref="P2:P3"/>
    <mergeCell ref="Q2:Q3"/>
    <mergeCell ref="A4:A9"/>
    <mergeCell ref="C5:D5"/>
    <mergeCell ref="Q4:Q9"/>
    <mergeCell ref="E5:F5"/>
    <mergeCell ref="I2:I3"/>
    <mergeCell ref="J2:J3"/>
    <mergeCell ref="K2:K3"/>
    <mergeCell ref="E2:F2"/>
    <mergeCell ref="G2:G3"/>
    <mergeCell ref="L2:L3"/>
    <mergeCell ref="M2:M3"/>
    <mergeCell ref="N2:N3"/>
    <mergeCell ref="A2:A3"/>
    <mergeCell ref="B2:B3"/>
    <mergeCell ref="C2:D2"/>
    <mergeCell ref="O2:O3"/>
    <mergeCell ref="I16:J21"/>
    <mergeCell ref="I28:J33"/>
    <mergeCell ref="H2:H3"/>
    <mergeCell ref="I4:J9"/>
    <mergeCell ref="H4:H9"/>
    <mergeCell ref="H10:H15"/>
    <mergeCell ref="A10:A15"/>
    <mergeCell ref="C11:D11"/>
    <mergeCell ref="E11:F11"/>
    <mergeCell ref="A16:A21"/>
    <mergeCell ref="C17:D17"/>
    <mergeCell ref="E17:F17"/>
    <mergeCell ref="A22:A27"/>
    <mergeCell ref="I22:J27"/>
    <mergeCell ref="C23:D23"/>
    <mergeCell ref="E23:F23"/>
    <mergeCell ref="A46:A51"/>
    <mergeCell ref="C47:D47"/>
    <mergeCell ref="E47:F47"/>
    <mergeCell ref="A40:A45"/>
    <mergeCell ref="H40:H45"/>
    <mergeCell ref="I34:J39"/>
    <mergeCell ref="A28:A33"/>
    <mergeCell ref="C29:D29"/>
    <mergeCell ref="E29:F29"/>
    <mergeCell ref="A34:A39"/>
    <mergeCell ref="C35:D35"/>
    <mergeCell ref="E35:F35"/>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3" manualBreakCount="3">
    <brk id="15" max="16383" man="1"/>
    <brk id="27" max="16383" man="1"/>
    <brk id="3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10F2-46D0-49E3-8741-899FB53D9907}">
  <dimension ref="A1:D17"/>
  <sheetViews>
    <sheetView view="pageLayout" zoomScaleNormal="100" workbookViewId="0">
      <selection activeCell="E8" sqref="E8"/>
    </sheetView>
  </sheetViews>
  <sheetFormatPr defaultRowHeight="14.4" x14ac:dyDescent="0.3"/>
  <cols>
    <col min="1" max="1" width="13.44140625" customWidth="1"/>
    <col min="2" max="2" width="10.5546875" bestFit="1" customWidth="1"/>
    <col min="3" max="4" width="11.109375" customWidth="1"/>
  </cols>
  <sheetData>
    <row r="1" spans="1:4" ht="37.950000000000003" customHeight="1" x14ac:dyDescent="0.3">
      <c r="A1" s="528" t="s">
        <v>644</v>
      </c>
      <c r="B1" s="529"/>
      <c r="C1" s="529"/>
      <c r="D1" s="530"/>
    </row>
    <row r="2" spans="1:4" ht="55.95" customHeight="1" x14ac:dyDescent="0.3">
      <c r="A2" s="498" t="s">
        <v>600</v>
      </c>
      <c r="B2" s="498" t="s">
        <v>291</v>
      </c>
      <c r="C2" s="231" t="s">
        <v>645</v>
      </c>
      <c r="D2" s="231"/>
    </row>
    <row r="3" spans="1:4" x14ac:dyDescent="0.3">
      <c r="A3" s="498"/>
      <c r="B3" s="498"/>
      <c r="C3" s="54" t="s">
        <v>613</v>
      </c>
      <c r="D3" s="54" t="s">
        <v>614</v>
      </c>
    </row>
    <row r="4" spans="1:4" x14ac:dyDescent="0.3">
      <c r="A4" s="413" t="s">
        <v>627</v>
      </c>
      <c r="B4" s="234" t="s">
        <v>646</v>
      </c>
      <c r="C4" s="234">
        <v>11</v>
      </c>
      <c r="D4" s="234">
        <v>15</v>
      </c>
    </row>
    <row r="5" spans="1:4" x14ac:dyDescent="0.3">
      <c r="A5" s="413"/>
      <c r="B5" s="234" t="s">
        <v>647</v>
      </c>
      <c r="C5" s="522">
        <v>13</v>
      </c>
      <c r="D5" s="523"/>
    </row>
    <row r="6" spans="1:4" x14ac:dyDescent="0.3">
      <c r="A6" s="413"/>
      <c r="B6" s="234">
        <v>2020</v>
      </c>
      <c r="C6" s="234">
        <v>18</v>
      </c>
      <c r="D6" s="234">
        <v>22</v>
      </c>
    </row>
    <row r="7" spans="1:4" x14ac:dyDescent="0.3">
      <c r="A7" s="413"/>
      <c r="B7" s="234">
        <v>2021</v>
      </c>
      <c r="C7" s="234">
        <v>18</v>
      </c>
      <c r="D7" s="234">
        <v>22</v>
      </c>
    </row>
    <row r="8" spans="1:4" x14ac:dyDescent="0.3">
      <c r="A8" s="413"/>
      <c r="B8" s="234">
        <v>2022</v>
      </c>
      <c r="C8" s="234">
        <v>18</v>
      </c>
      <c r="D8" s="234">
        <v>22</v>
      </c>
    </row>
    <row r="9" spans="1:4" ht="27.6" x14ac:dyDescent="0.3">
      <c r="A9" s="413"/>
      <c r="B9" s="249" t="s">
        <v>648</v>
      </c>
      <c r="C9" s="234">
        <f>SUM(C6:C8)</f>
        <v>54</v>
      </c>
      <c r="D9" s="234">
        <f>SUM(D6:D8)</f>
        <v>66</v>
      </c>
    </row>
    <row r="10" spans="1:4" ht="51.75" customHeight="1" x14ac:dyDescent="0.3">
      <c r="A10" s="498" t="s">
        <v>600</v>
      </c>
      <c r="B10" s="498" t="s">
        <v>291</v>
      </c>
      <c r="C10" s="56" t="s">
        <v>649</v>
      </c>
      <c r="D10" s="56"/>
    </row>
    <row r="11" spans="1:4" x14ac:dyDescent="0.3">
      <c r="A11" s="498"/>
      <c r="B11" s="498"/>
      <c r="C11" s="57" t="s">
        <v>613</v>
      </c>
      <c r="D11" s="57" t="s">
        <v>614</v>
      </c>
    </row>
    <row r="12" spans="1:4" x14ac:dyDescent="0.3">
      <c r="A12" s="413" t="s">
        <v>632</v>
      </c>
      <c r="B12" s="234" t="s">
        <v>616</v>
      </c>
      <c r="C12" s="234">
        <v>450</v>
      </c>
      <c r="D12" s="234">
        <v>550</v>
      </c>
    </row>
    <row r="13" spans="1:4" x14ac:dyDescent="0.3">
      <c r="A13" s="413"/>
      <c r="B13" s="234" t="s">
        <v>622</v>
      </c>
      <c r="C13" s="522">
        <v>594</v>
      </c>
      <c r="D13" s="523"/>
    </row>
    <row r="14" spans="1:4" x14ac:dyDescent="0.3">
      <c r="A14" s="413"/>
      <c r="B14" s="234">
        <v>2020</v>
      </c>
      <c r="C14" s="234">
        <v>450</v>
      </c>
      <c r="D14" s="234">
        <v>550</v>
      </c>
    </row>
    <row r="15" spans="1:4" x14ac:dyDescent="0.3">
      <c r="A15" s="413"/>
      <c r="B15" s="234">
        <v>2021</v>
      </c>
      <c r="C15" s="234">
        <v>450</v>
      </c>
      <c r="D15" s="234">
        <v>550</v>
      </c>
    </row>
    <row r="16" spans="1:4" x14ac:dyDescent="0.3">
      <c r="A16" s="413"/>
      <c r="B16" s="234">
        <v>2022</v>
      </c>
      <c r="C16" s="234">
        <v>0</v>
      </c>
      <c r="D16" s="234">
        <v>0</v>
      </c>
    </row>
    <row r="17" spans="1:4" ht="27.6" x14ac:dyDescent="0.3">
      <c r="A17" s="413"/>
      <c r="B17" s="249" t="s">
        <v>623</v>
      </c>
      <c r="C17" s="234">
        <f>SUM(C14:C16)</f>
        <v>900</v>
      </c>
      <c r="D17" s="234">
        <f>SUM(D14:D16)</f>
        <v>1100</v>
      </c>
    </row>
  </sheetData>
  <mergeCells count="9">
    <mergeCell ref="A1:D1"/>
    <mergeCell ref="A12:A17"/>
    <mergeCell ref="A2:A3"/>
    <mergeCell ref="B2:B3"/>
    <mergeCell ref="A4:A9"/>
    <mergeCell ref="A10:A11"/>
    <mergeCell ref="B10:B11"/>
    <mergeCell ref="C13:D13"/>
    <mergeCell ref="C5:D5"/>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8A6F-62CD-4EF3-8D06-C57801471B60}">
  <dimension ref="A1:T135"/>
  <sheetViews>
    <sheetView view="pageLayout" topLeftCell="G22" zoomScaleNormal="85" zoomScaleSheetLayoutView="70" workbookViewId="0">
      <selection activeCell="X13" sqref="X13"/>
    </sheetView>
  </sheetViews>
  <sheetFormatPr defaultRowHeight="14.4" x14ac:dyDescent="0.3"/>
  <cols>
    <col min="1" max="2" width="14.88671875" customWidth="1"/>
    <col min="3" max="3" width="9" customWidth="1"/>
    <col min="4" max="4" width="8.44140625" bestFit="1" customWidth="1"/>
    <col min="5" max="5" width="6.33203125" customWidth="1"/>
    <col min="6" max="6" width="6.5546875" customWidth="1"/>
    <col min="8" max="8" width="11" customWidth="1"/>
    <col min="9" max="9" width="10.44140625" bestFit="1" customWidth="1"/>
    <col min="10" max="10" width="9.33203125" customWidth="1"/>
    <col min="13" max="13" width="12.6640625" customWidth="1"/>
    <col min="14" max="14" width="8.33203125" customWidth="1"/>
    <col min="15" max="15" width="10.33203125" customWidth="1"/>
    <col min="16" max="16" width="13.109375" bestFit="1" customWidth="1"/>
  </cols>
  <sheetData>
    <row r="1" spans="1:17" s="58" customFormat="1" ht="18" x14ac:dyDescent="0.35">
      <c r="A1" s="206" t="s">
        <v>650</v>
      </c>
      <c r="B1" s="207"/>
      <c r="C1" s="207"/>
      <c r="D1" s="207"/>
      <c r="E1" s="207"/>
      <c r="F1" s="207"/>
      <c r="G1" s="207"/>
      <c r="H1" s="207"/>
      <c r="I1" s="207"/>
      <c r="J1" s="207"/>
      <c r="K1" s="207"/>
      <c r="L1" s="207"/>
      <c r="M1" s="207"/>
      <c r="N1" s="207"/>
      <c r="O1" s="207"/>
      <c r="P1" s="207"/>
      <c r="Q1" s="208"/>
    </row>
    <row r="2" spans="1:17" ht="75.599999999999994" customHeight="1" x14ac:dyDescent="0.3">
      <c r="A2" s="498" t="s">
        <v>600</v>
      </c>
      <c r="B2" s="498" t="s">
        <v>291</v>
      </c>
      <c r="C2" s="498" t="s">
        <v>601</v>
      </c>
      <c r="D2" s="498"/>
      <c r="E2" s="498" t="s">
        <v>602</v>
      </c>
      <c r="F2" s="498"/>
      <c r="G2" s="498" t="s">
        <v>603</v>
      </c>
      <c r="H2" s="498" t="s">
        <v>604</v>
      </c>
      <c r="I2" s="498" t="s">
        <v>605</v>
      </c>
      <c r="J2" s="498" t="s">
        <v>606</v>
      </c>
      <c r="K2" s="498" t="s">
        <v>607</v>
      </c>
      <c r="L2" s="498" t="s">
        <v>608</v>
      </c>
      <c r="M2" s="498" t="s">
        <v>609</v>
      </c>
      <c r="N2" s="498" t="s">
        <v>610</v>
      </c>
      <c r="O2" s="498" t="s">
        <v>611</v>
      </c>
      <c r="P2" s="498" t="s">
        <v>612</v>
      </c>
      <c r="Q2" s="498" t="s">
        <v>33</v>
      </c>
    </row>
    <row r="3" spans="1:17" ht="12" customHeight="1" x14ac:dyDescent="0.3">
      <c r="A3" s="498"/>
      <c r="B3" s="498"/>
      <c r="C3" s="244" t="s">
        <v>613</v>
      </c>
      <c r="D3" s="244" t="s">
        <v>614</v>
      </c>
      <c r="E3" s="244" t="s">
        <v>613</v>
      </c>
      <c r="F3" s="244" t="s">
        <v>614</v>
      </c>
      <c r="G3" s="498"/>
      <c r="H3" s="498"/>
      <c r="I3" s="498"/>
      <c r="J3" s="498"/>
      <c r="K3" s="498"/>
      <c r="L3" s="498"/>
      <c r="M3" s="498"/>
      <c r="N3" s="498"/>
      <c r="O3" s="498"/>
      <c r="P3" s="498"/>
      <c r="Q3" s="498"/>
    </row>
    <row r="4" spans="1:17" ht="27.6" x14ac:dyDescent="0.3">
      <c r="A4" s="413" t="s">
        <v>651</v>
      </c>
      <c r="B4" s="234" t="s">
        <v>616</v>
      </c>
      <c r="C4" s="234" t="s">
        <v>26</v>
      </c>
      <c r="D4" s="234" t="s">
        <v>26</v>
      </c>
      <c r="E4" s="59" t="s">
        <v>26</v>
      </c>
      <c r="F4" s="234" t="s">
        <v>26</v>
      </c>
      <c r="G4" s="234" t="s">
        <v>26</v>
      </c>
      <c r="H4" s="515" t="s">
        <v>652</v>
      </c>
      <c r="I4" s="234" t="s">
        <v>26</v>
      </c>
      <c r="J4" s="234" t="s">
        <v>26</v>
      </c>
      <c r="K4" s="234" t="s">
        <v>26</v>
      </c>
      <c r="L4" s="234" t="s">
        <v>618</v>
      </c>
      <c r="M4" s="234" t="s">
        <v>619</v>
      </c>
      <c r="N4" s="234" t="s">
        <v>26</v>
      </c>
      <c r="O4" s="249" t="s">
        <v>620</v>
      </c>
      <c r="P4" s="107" t="s">
        <v>621</v>
      </c>
      <c r="Q4" s="48"/>
    </row>
    <row r="5" spans="1:17" ht="27.6" x14ac:dyDescent="0.3">
      <c r="A5" s="413"/>
      <c r="B5" s="234" t="s">
        <v>622</v>
      </c>
      <c r="C5" s="522" t="s">
        <v>26</v>
      </c>
      <c r="D5" s="523"/>
      <c r="E5" s="522" t="s">
        <v>26</v>
      </c>
      <c r="F5" s="523"/>
      <c r="G5" s="234" t="s">
        <v>26</v>
      </c>
      <c r="H5" s="516"/>
      <c r="I5" s="234" t="s">
        <v>26</v>
      </c>
      <c r="J5" s="234" t="s">
        <v>26</v>
      </c>
      <c r="K5" s="234" t="s">
        <v>26</v>
      </c>
      <c r="L5" s="234" t="s">
        <v>618</v>
      </c>
      <c r="M5" s="234" t="s">
        <v>619</v>
      </c>
      <c r="N5" s="234" t="s">
        <v>26</v>
      </c>
      <c r="O5" s="249" t="s">
        <v>620</v>
      </c>
      <c r="P5" s="107" t="s">
        <v>621</v>
      </c>
      <c r="Q5" s="48"/>
    </row>
    <row r="6" spans="1:17" ht="27.6" x14ac:dyDescent="0.3">
      <c r="A6" s="413"/>
      <c r="B6" s="234">
        <v>2020</v>
      </c>
      <c r="C6" s="241">
        <v>1425</v>
      </c>
      <c r="D6" s="241">
        <v>1725</v>
      </c>
      <c r="E6" s="234" t="s">
        <v>26</v>
      </c>
      <c r="F6" s="234" t="s">
        <v>26</v>
      </c>
      <c r="G6" s="49">
        <f>((C6+D6)/2)/17277</f>
        <v>9.1161660010418477E-2</v>
      </c>
      <c r="H6" s="516"/>
      <c r="I6" s="60">
        <v>2.5669479452054794E-3</v>
      </c>
      <c r="J6" s="240">
        <v>140.38383432303064</v>
      </c>
      <c r="K6" s="234" t="s">
        <v>26</v>
      </c>
      <c r="L6" s="234" t="s">
        <v>618</v>
      </c>
      <c r="M6" s="234" t="s">
        <v>619</v>
      </c>
      <c r="N6" s="234" t="s">
        <v>26</v>
      </c>
      <c r="O6" s="249" t="s">
        <v>620</v>
      </c>
      <c r="P6" s="107" t="s">
        <v>621</v>
      </c>
      <c r="Q6" s="48"/>
    </row>
    <row r="7" spans="1:17" ht="27.6" x14ac:dyDescent="0.3">
      <c r="A7" s="413"/>
      <c r="B7" s="234">
        <v>2021</v>
      </c>
      <c r="C7" s="241">
        <v>1425</v>
      </c>
      <c r="D7" s="241">
        <v>1725</v>
      </c>
      <c r="E7" s="234" t="s">
        <v>26</v>
      </c>
      <c r="F7" s="234" t="s">
        <v>26</v>
      </c>
      <c r="G7" s="49">
        <f t="shared" ref="G7:G8" si="0">((C7+D7)/2)/17277</f>
        <v>9.1161660010418477E-2</v>
      </c>
      <c r="H7" s="516"/>
      <c r="I7" s="60">
        <v>1.9528767123287672E-4</v>
      </c>
      <c r="J7" s="240">
        <v>10.369018284165447</v>
      </c>
      <c r="K7" s="234" t="s">
        <v>26</v>
      </c>
      <c r="L7" s="234" t="s">
        <v>618</v>
      </c>
      <c r="M7" s="234" t="s">
        <v>619</v>
      </c>
      <c r="N7" s="234" t="s">
        <v>26</v>
      </c>
      <c r="O7" s="249" t="s">
        <v>620</v>
      </c>
      <c r="P7" s="107" t="s">
        <v>621</v>
      </c>
      <c r="Q7" s="48"/>
    </row>
    <row r="8" spans="1:17" ht="27.6" x14ac:dyDescent="0.3">
      <c r="A8" s="413"/>
      <c r="B8" s="234">
        <v>2022</v>
      </c>
      <c r="C8" s="241">
        <v>1805</v>
      </c>
      <c r="D8" s="241">
        <v>2185</v>
      </c>
      <c r="E8" s="234" t="s">
        <v>26</v>
      </c>
      <c r="F8" s="234" t="s">
        <v>26</v>
      </c>
      <c r="G8" s="49">
        <f t="shared" si="0"/>
        <v>0.11547143601319673</v>
      </c>
      <c r="H8" s="516"/>
      <c r="I8" s="60">
        <v>2.4736438356164384E-4</v>
      </c>
      <c r="J8" s="240">
        <v>10.067008042879072</v>
      </c>
      <c r="K8" s="234" t="s">
        <v>26</v>
      </c>
      <c r="L8" s="234" t="s">
        <v>618</v>
      </c>
      <c r="M8" s="234" t="s">
        <v>619</v>
      </c>
      <c r="N8" s="234" t="s">
        <v>26</v>
      </c>
      <c r="O8" s="249" t="s">
        <v>620</v>
      </c>
      <c r="P8" s="107" t="s">
        <v>621</v>
      </c>
      <c r="Q8" s="48"/>
    </row>
    <row r="9" spans="1:17" ht="27.6" x14ac:dyDescent="0.3">
      <c r="A9" s="413"/>
      <c r="B9" s="249" t="s">
        <v>623</v>
      </c>
      <c r="C9" s="241">
        <f>SUM(C6:C8)</f>
        <v>4655</v>
      </c>
      <c r="D9" s="241">
        <f>SUM(D6:D8)</f>
        <v>5635</v>
      </c>
      <c r="E9" s="234" t="s">
        <v>26</v>
      </c>
      <c r="F9" s="234" t="s">
        <v>26</v>
      </c>
      <c r="G9" s="49">
        <f>((C9+D9)/2)/17277</f>
        <v>0.29779475603403371</v>
      </c>
      <c r="H9" s="517"/>
      <c r="I9" s="60">
        <v>3.0096000000000003E-3</v>
      </c>
      <c r="J9" s="240">
        <v>48.81455896988605</v>
      </c>
      <c r="K9" s="234" t="s">
        <v>26</v>
      </c>
      <c r="L9" s="234" t="s">
        <v>618</v>
      </c>
      <c r="M9" s="234" t="s">
        <v>619</v>
      </c>
      <c r="N9" s="234" t="s">
        <v>26</v>
      </c>
      <c r="O9" s="249" t="s">
        <v>620</v>
      </c>
      <c r="P9" s="107" t="s">
        <v>621</v>
      </c>
      <c r="Q9" s="48"/>
    </row>
    <row r="10" spans="1:17" ht="27.6" x14ac:dyDescent="0.3">
      <c r="A10" s="413" t="s">
        <v>653</v>
      </c>
      <c r="B10" s="235" t="s">
        <v>616</v>
      </c>
      <c r="C10" s="51">
        <v>2400</v>
      </c>
      <c r="D10" s="51">
        <v>3600</v>
      </c>
      <c r="E10" s="235" t="s">
        <v>26</v>
      </c>
      <c r="F10" s="235" t="s">
        <v>26</v>
      </c>
      <c r="G10" s="50">
        <f>((C10+D10)/2)/17277</f>
        <v>0.17364125716270185</v>
      </c>
      <c r="H10" s="525" t="s">
        <v>654</v>
      </c>
      <c r="I10" s="235" t="s">
        <v>26</v>
      </c>
      <c r="J10" s="235" t="s">
        <v>26</v>
      </c>
      <c r="K10" s="235" t="s">
        <v>26</v>
      </c>
      <c r="L10" s="235" t="s">
        <v>618</v>
      </c>
      <c r="M10" s="235" t="s">
        <v>619</v>
      </c>
      <c r="N10" s="235" t="s">
        <v>26</v>
      </c>
      <c r="O10" s="250" t="s">
        <v>620</v>
      </c>
      <c r="P10" s="103" t="s">
        <v>621</v>
      </c>
      <c r="Q10" s="47"/>
    </row>
    <row r="11" spans="1:17" ht="27.6" x14ac:dyDescent="0.3">
      <c r="A11" s="413"/>
      <c r="B11" s="235" t="s">
        <v>622</v>
      </c>
      <c r="C11" s="505">
        <v>3400</v>
      </c>
      <c r="D11" s="506"/>
      <c r="E11" s="235" t="s">
        <v>26</v>
      </c>
      <c r="F11" s="235" t="s">
        <v>26</v>
      </c>
      <c r="G11" s="50">
        <f>(C11+D11)/17277</f>
        <v>0.19679342478439543</v>
      </c>
      <c r="H11" s="526"/>
      <c r="I11" s="235" t="s">
        <v>26</v>
      </c>
      <c r="J11" s="235" t="s">
        <v>26</v>
      </c>
      <c r="K11" s="235" t="s">
        <v>26</v>
      </c>
      <c r="L11" s="235" t="s">
        <v>618</v>
      </c>
      <c r="M11" s="235" t="s">
        <v>619</v>
      </c>
      <c r="N11" s="235" t="s">
        <v>26</v>
      </c>
      <c r="O11" s="250" t="s">
        <v>620</v>
      </c>
      <c r="P11" s="103" t="s">
        <v>621</v>
      </c>
      <c r="Q11" s="47"/>
    </row>
    <row r="12" spans="1:17" ht="27.6" x14ac:dyDescent="0.3">
      <c r="A12" s="413"/>
      <c r="B12" s="235">
        <v>2020</v>
      </c>
      <c r="C12" s="51">
        <v>4800</v>
      </c>
      <c r="D12" s="51">
        <v>5800</v>
      </c>
      <c r="E12" s="235" t="s">
        <v>26</v>
      </c>
      <c r="F12" s="235" t="s">
        <v>26</v>
      </c>
      <c r="G12" s="50">
        <f t="shared" ref="G12:G15" si="1">((C12+D12)/2)/17277</f>
        <v>0.30676622098743994</v>
      </c>
      <c r="H12" s="526"/>
      <c r="I12" s="61">
        <v>1.6754580000000002E-2</v>
      </c>
      <c r="J12" s="62">
        <v>24.760755223752994</v>
      </c>
      <c r="K12" s="235" t="s">
        <v>26</v>
      </c>
      <c r="L12" s="235" t="s">
        <v>618</v>
      </c>
      <c r="M12" s="235" t="s">
        <v>619</v>
      </c>
      <c r="N12" s="235" t="s">
        <v>26</v>
      </c>
      <c r="O12" s="250" t="s">
        <v>620</v>
      </c>
      <c r="P12" s="103" t="s">
        <v>621</v>
      </c>
      <c r="Q12" s="47"/>
    </row>
    <row r="13" spans="1:17" ht="27.6" x14ac:dyDescent="0.3">
      <c r="A13" s="413"/>
      <c r="B13" s="235">
        <v>2021</v>
      </c>
      <c r="C13" s="51">
        <v>8200</v>
      </c>
      <c r="D13" s="51">
        <v>10000</v>
      </c>
      <c r="E13" s="235" t="s">
        <v>26</v>
      </c>
      <c r="F13" s="235" t="s">
        <v>26</v>
      </c>
      <c r="G13" s="50">
        <f t="shared" si="1"/>
        <v>0.52671181339352902</v>
      </c>
      <c r="H13" s="526"/>
      <c r="I13" s="61">
        <v>1.8484672500000004E-2</v>
      </c>
      <c r="J13" s="62">
        <v>24.760755223752994</v>
      </c>
      <c r="K13" s="235" t="s">
        <v>26</v>
      </c>
      <c r="L13" s="235" t="s">
        <v>618</v>
      </c>
      <c r="M13" s="235" t="s">
        <v>619</v>
      </c>
      <c r="N13" s="235" t="s">
        <v>26</v>
      </c>
      <c r="O13" s="250" t="s">
        <v>620</v>
      </c>
      <c r="P13" s="103" t="s">
        <v>621</v>
      </c>
      <c r="Q13" s="47"/>
    </row>
    <row r="14" spans="1:17" ht="27.6" x14ac:dyDescent="0.3">
      <c r="A14" s="413"/>
      <c r="B14" s="235">
        <v>2022</v>
      </c>
      <c r="C14" s="51">
        <v>8200</v>
      </c>
      <c r="D14" s="51">
        <v>10000</v>
      </c>
      <c r="E14" s="235" t="s">
        <v>26</v>
      </c>
      <c r="F14" s="235" t="s">
        <v>26</v>
      </c>
      <c r="G14" s="50">
        <f t="shared" si="1"/>
        <v>0.52671181339352902</v>
      </c>
      <c r="H14" s="526"/>
      <c r="I14" s="61">
        <v>2.3037547500000005E-2</v>
      </c>
      <c r="J14" s="62">
        <v>24.760755223752994</v>
      </c>
      <c r="K14" s="235" t="s">
        <v>26</v>
      </c>
      <c r="L14" s="235" t="s">
        <v>618</v>
      </c>
      <c r="M14" s="235" t="s">
        <v>619</v>
      </c>
      <c r="N14" s="235" t="s">
        <v>26</v>
      </c>
      <c r="O14" s="250" t="s">
        <v>620</v>
      </c>
      <c r="P14" s="103" t="s">
        <v>621</v>
      </c>
      <c r="Q14" s="47"/>
    </row>
    <row r="15" spans="1:17" ht="27.6" x14ac:dyDescent="0.3">
      <c r="A15" s="413"/>
      <c r="B15" s="250" t="s">
        <v>623</v>
      </c>
      <c r="C15" s="51">
        <f>SUM(C12:C14)</f>
        <v>21200</v>
      </c>
      <c r="D15" s="51">
        <f>SUM(D12:D14)</f>
        <v>25800</v>
      </c>
      <c r="E15" s="235" t="s">
        <v>26</v>
      </c>
      <c r="F15" s="235" t="s">
        <v>26</v>
      </c>
      <c r="G15" s="50">
        <f t="shared" si="1"/>
        <v>1.3601898477744978</v>
      </c>
      <c r="H15" s="527"/>
      <c r="I15" s="61">
        <v>5.8276800000000011E-2</v>
      </c>
      <c r="J15" s="62">
        <v>24.760755223752994</v>
      </c>
      <c r="K15" s="235" t="s">
        <v>26</v>
      </c>
      <c r="L15" s="235" t="s">
        <v>618</v>
      </c>
      <c r="M15" s="235" t="s">
        <v>619</v>
      </c>
      <c r="N15" s="235" t="s">
        <v>26</v>
      </c>
      <c r="O15" s="250" t="s">
        <v>620</v>
      </c>
      <c r="P15" s="103" t="s">
        <v>621</v>
      </c>
      <c r="Q15" s="47"/>
    </row>
    <row r="16" spans="1:17" ht="27.6" x14ac:dyDescent="0.3">
      <c r="A16" s="413" t="s">
        <v>655</v>
      </c>
      <c r="B16" s="234" t="s">
        <v>616</v>
      </c>
      <c r="C16" s="241">
        <v>65700</v>
      </c>
      <c r="D16" s="241">
        <v>85100</v>
      </c>
      <c r="E16" s="234">
        <v>112.8</v>
      </c>
      <c r="F16" s="234">
        <v>146.69999999999999</v>
      </c>
      <c r="G16" s="241">
        <f>((C16+D16)/2)/((E16+F16)/2)</f>
        <v>581.11753371868974</v>
      </c>
      <c r="H16" s="515" t="s">
        <v>656</v>
      </c>
      <c r="I16" s="234" t="s">
        <v>26</v>
      </c>
      <c r="J16" s="234" t="s">
        <v>26</v>
      </c>
      <c r="K16" s="234" t="s">
        <v>634</v>
      </c>
      <c r="L16" s="234" t="s">
        <v>618</v>
      </c>
      <c r="M16" s="234" t="s">
        <v>619</v>
      </c>
      <c r="N16" s="234" t="s">
        <v>26</v>
      </c>
      <c r="O16" s="249" t="s">
        <v>620</v>
      </c>
      <c r="P16" s="107" t="s">
        <v>621</v>
      </c>
      <c r="Q16" s="48"/>
    </row>
    <row r="17" spans="1:17" ht="27.6" x14ac:dyDescent="0.3">
      <c r="A17" s="413"/>
      <c r="B17" s="234" t="s">
        <v>622</v>
      </c>
      <c r="C17" s="520">
        <v>120611</v>
      </c>
      <c r="D17" s="523"/>
      <c r="E17" s="522">
        <v>122.9</v>
      </c>
      <c r="F17" s="523"/>
      <c r="G17" s="241">
        <f t="shared" ref="G17:G21" si="2">((C17+D17)/2)/((E17+F17)/2)</f>
        <v>981.37510170870621</v>
      </c>
      <c r="H17" s="516"/>
      <c r="I17" s="234" t="s">
        <v>26</v>
      </c>
      <c r="J17" s="234" t="s">
        <v>26</v>
      </c>
      <c r="K17" s="234" t="s">
        <v>634</v>
      </c>
      <c r="L17" s="234" t="s">
        <v>618</v>
      </c>
      <c r="M17" s="234" t="s">
        <v>619</v>
      </c>
      <c r="N17" s="234" t="s">
        <v>26</v>
      </c>
      <c r="O17" s="249" t="s">
        <v>620</v>
      </c>
      <c r="P17" s="107" t="s">
        <v>621</v>
      </c>
      <c r="Q17" s="48"/>
    </row>
    <row r="18" spans="1:17" ht="27.6" x14ac:dyDescent="0.3">
      <c r="A18" s="413"/>
      <c r="B18" s="234">
        <v>2020</v>
      </c>
      <c r="C18" s="241">
        <f>87000*0.8</f>
        <v>69600</v>
      </c>
      <c r="D18" s="241">
        <f>87000*1.2</f>
        <v>104400</v>
      </c>
      <c r="E18" s="240">
        <f>102*0.8</f>
        <v>81.600000000000009</v>
      </c>
      <c r="F18" s="240">
        <f>102*1.2</f>
        <v>122.39999999999999</v>
      </c>
      <c r="G18" s="241">
        <f t="shared" si="2"/>
        <v>852.94117647058829</v>
      </c>
      <c r="H18" s="516"/>
      <c r="I18" s="60">
        <v>1.2281110979359544E-2</v>
      </c>
      <c r="J18" s="240">
        <v>22.510294650852771</v>
      </c>
      <c r="K18" s="234" t="s">
        <v>634</v>
      </c>
      <c r="L18" s="234" t="s">
        <v>618</v>
      </c>
      <c r="M18" s="234" t="s">
        <v>619</v>
      </c>
      <c r="N18" s="234" t="s">
        <v>26</v>
      </c>
      <c r="O18" s="249" t="s">
        <v>620</v>
      </c>
      <c r="P18" s="107" t="s">
        <v>621</v>
      </c>
      <c r="Q18" s="48"/>
    </row>
    <row r="19" spans="1:17" ht="27.6" x14ac:dyDescent="0.3">
      <c r="A19" s="413"/>
      <c r="B19" s="234">
        <v>2021</v>
      </c>
      <c r="C19" s="241">
        <f>12000*0.8</f>
        <v>9600</v>
      </c>
      <c r="D19" s="241">
        <f>12000*1.2</f>
        <v>14400</v>
      </c>
      <c r="E19" s="240">
        <f>14*0.8</f>
        <v>11.200000000000001</v>
      </c>
      <c r="F19" s="240">
        <f>14*1.2</f>
        <v>16.8</v>
      </c>
      <c r="G19" s="241">
        <f t="shared" si="2"/>
        <v>857.14285714285711</v>
      </c>
      <c r="H19" s="516"/>
      <c r="I19" s="60">
        <v>2.0667131589884235E-3</v>
      </c>
      <c r="J19" s="240">
        <v>22.510294650852771</v>
      </c>
      <c r="K19" s="234" t="s">
        <v>634</v>
      </c>
      <c r="L19" s="234" t="s">
        <v>618</v>
      </c>
      <c r="M19" s="234" t="s">
        <v>619</v>
      </c>
      <c r="N19" s="234" t="s">
        <v>26</v>
      </c>
      <c r="O19" s="249" t="s">
        <v>620</v>
      </c>
      <c r="P19" s="107" t="s">
        <v>621</v>
      </c>
      <c r="Q19" s="48"/>
    </row>
    <row r="20" spans="1:17" ht="27.6" x14ac:dyDescent="0.3">
      <c r="A20" s="413"/>
      <c r="B20" s="234">
        <v>2022</v>
      </c>
      <c r="C20" s="241">
        <f>7200*0.8</f>
        <v>5760</v>
      </c>
      <c r="D20" s="241">
        <f>7200*1.2</f>
        <v>8640</v>
      </c>
      <c r="E20" s="240">
        <f>8.4*0.8</f>
        <v>6.7200000000000006</v>
      </c>
      <c r="F20" s="240">
        <f>8.4*1.2</f>
        <v>10.08</v>
      </c>
      <c r="G20" s="241">
        <f t="shared" si="2"/>
        <v>857.14285714285711</v>
      </c>
      <c r="H20" s="516"/>
      <c r="I20" s="60">
        <v>1.4129916984846717E-3</v>
      </c>
      <c r="J20" s="240">
        <v>22.510294650852771</v>
      </c>
      <c r="K20" s="234" t="s">
        <v>634</v>
      </c>
      <c r="L20" s="234" t="s">
        <v>618</v>
      </c>
      <c r="M20" s="234" t="s">
        <v>619</v>
      </c>
      <c r="N20" s="234" t="s">
        <v>26</v>
      </c>
      <c r="O20" s="249" t="s">
        <v>620</v>
      </c>
      <c r="P20" s="107" t="s">
        <v>621</v>
      </c>
      <c r="Q20" s="48"/>
    </row>
    <row r="21" spans="1:17" ht="27.6" x14ac:dyDescent="0.3">
      <c r="A21" s="413"/>
      <c r="B21" s="249" t="s">
        <v>623</v>
      </c>
      <c r="C21" s="241">
        <f>SUM(C18:C20)</f>
        <v>84960</v>
      </c>
      <c r="D21" s="241">
        <f>SUM(D18:D20)</f>
        <v>127440</v>
      </c>
      <c r="E21" s="240">
        <f>SUM(E18:E20)</f>
        <v>99.52000000000001</v>
      </c>
      <c r="F21" s="240">
        <f>SUM(F18:F20)</f>
        <v>149.28</v>
      </c>
      <c r="G21" s="241">
        <f t="shared" si="2"/>
        <v>853.69774919614144</v>
      </c>
      <c r="H21" s="517"/>
      <c r="I21" s="60">
        <v>1.5800000000000002E-2</v>
      </c>
      <c r="J21" s="240">
        <v>22.510294650852771</v>
      </c>
      <c r="K21" s="234" t="s">
        <v>634</v>
      </c>
      <c r="L21" s="234" t="s">
        <v>618</v>
      </c>
      <c r="M21" s="234" t="s">
        <v>619</v>
      </c>
      <c r="N21" s="234" t="s">
        <v>26</v>
      </c>
      <c r="O21" s="249" t="s">
        <v>620</v>
      </c>
      <c r="P21" s="107" t="s">
        <v>621</v>
      </c>
      <c r="Q21" s="48"/>
    </row>
    <row r="22" spans="1:17" ht="27.6" x14ac:dyDescent="0.3">
      <c r="A22" s="413" t="s">
        <v>657</v>
      </c>
      <c r="B22" s="235" t="s">
        <v>616</v>
      </c>
      <c r="C22" s="235">
        <v>0</v>
      </c>
      <c r="D22" s="235">
        <v>0</v>
      </c>
      <c r="E22" s="235">
        <v>0</v>
      </c>
      <c r="F22" s="235">
        <v>0</v>
      </c>
      <c r="G22" s="235">
        <v>0</v>
      </c>
      <c r="H22" s="525" t="s">
        <v>658</v>
      </c>
      <c r="I22" s="235" t="s">
        <v>26</v>
      </c>
      <c r="J22" s="235" t="s">
        <v>26</v>
      </c>
      <c r="K22" s="235" t="s">
        <v>634</v>
      </c>
      <c r="L22" s="235" t="s">
        <v>618</v>
      </c>
      <c r="M22" s="235" t="s">
        <v>619</v>
      </c>
      <c r="N22" s="235" t="s">
        <v>26</v>
      </c>
      <c r="O22" s="250" t="s">
        <v>620</v>
      </c>
      <c r="P22" s="103" t="s">
        <v>621</v>
      </c>
      <c r="Q22" s="47"/>
    </row>
    <row r="23" spans="1:17" ht="27.6" x14ac:dyDescent="0.3">
      <c r="A23" s="413"/>
      <c r="B23" s="235" t="s">
        <v>622</v>
      </c>
      <c r="C23" s="507">
        <v>0</v>
      </c>
      <c r="D23" s="508"/>
      <c r="E23" s="507">
        <v>0</v>
      </c>
      <c r="F23" s="508"/>
      <c r="G23" s="235" t="s">
        <v>26</v>
      </c>
      <c r="H23" s="526"/>
      <c r="I23" s="235" t="s">
        <v>26</v>
      </c>
      <c r="J23" s="235" t="s">
        <v>26</v>
      </c>
      <c r="K23" s="235" t="s">
        <v>634</v>
      </c>
      <c r="L23" s="235" t="s">
        <v>618</v>
      </c>
      <c r="M23" s="235" t="s">
        <v>619</v>
      </c>
      <c r="N23" s="235" t="s">
        <v>26</v>
      </c>
      <c r="O23" s="250" t="s">
        <v>620</v>
      </c>
      <c r="P23" s="103" t="s">
        <v>621</v>
      </c>
      <c r="Q23" s="47"/>
    </row>
    <row r="24" spans="1:17" ht="27.6" x14ac:dyDescent="0.3">
      <c r="A24" s="413"/>
      <c r="B24" s="235">
        <v>2020</v>
      </c>
      <c r="C24" s="51">
        <f>0.8*1071</f>
        <v>856.80000000000007</v>
      </c>
      <c r="D24" s="51">
        <f>1.2*1071</f>
        <v>1285.2</v>
      </c>
      <c r="E24" s="235">
        <v>0.8</v>
      </c>
      <c r="F24" s="235">
        <v>1.2</v>
      </c>
      <c r="G24" s="51">
        <f>((C24+D24)/2)/((E24+F24)/2)</f>
        <v>1071</v>
      </c>
      <c r="H24" s="526"/>
      <c r="I24" s="61">
        <v>5.0794477115657206E-4</v>
      </c>
      <c r="J24" s="62">
        <v>20.744386708890449</v>
      </c>
      <c r="K24" s="235" t="s">
        <v>634</v>
      </c>
      <c r="L24" s="235" t="s">
        <v>618</v>
      </c>
      <c r="M24" s="235" t="s">
        <v>619</v>
      </c>
      <c r="N24" s="235" t="s">
        <v>26</v>
      </c>
      <c r="O24" s="250" t="s">
        <v>620</v>
      </c>
      <c r="P24" s="103" t="s">
        <v>621</v>
      </c>
      <c r="Q24" s="47"/>
    </row>
    <row r="25" spans="1:17" ht="27.6" x14ac:dyDescent="0.3">
      <c r="A25" s="413"/>
      <c r="B25" s="235">
        <v>2021</v>
      </c>
      <c r="C25" s="51">
        <f>10800*0.8</f>
        <v>8640</v>
      </c>
      <c r="D25" s="51">
        <f>10800*1.2</f>
        <v>12960</v>
      </c>
      <c r="E25" s="235">
        <f>10*0.8</f>
        <v>8</v>
      </c>
      <c r="F25" s="235">
        <f>10*1.2</f>
        <v>12</v>
      </c>
      <c r="G25" s="51">
        <f t="shared" ref="G25:G27" si="3">((C25+D25)/2)/((E25+F25)/2)</f>
        <v>1080</v>
      </c>
      <c r="H25" s="526"/>
      <c r="I25" s="61">
        <v>1.9718232530779168E-3</v>
      </c>
      <c r="J25" s="62">
        <v>20.744386708890449</v>
      </c>
      <c r="K25" s="235" t="s">
        <v>634</v>
      </c>
      <c r="L25" s="235" t="s">
        <v>618</v>
      </c>
      <c r="M25" s="235" t="s">
        <v>619</v>
      </c>
      <c r="N25" s="235" t="s">
        <v>26</v>
      </c>
      <c r="O25" s="250" t="s">
        <v>620</v>
      </c>
      <c r="P25" s="103" t="s">
        <v>621</v>
      </c>
      <c r="Q25" s="47"/>
    </row>
    <row r="26" spans="1:17" ht="27.6" x14ac:dyDescent="0.3">
      <c r="A26" s="413"/>
      <c r="B26" s="235">
        <v>2022</v>
      </c>
      <c r="C26" s="51">
        <f>10800*0.8</f>
        <v>8640</v>
      </c>
      <c r="D26" s="51">
        <f>10800*1.2</f>
        <v>12960</v>
      </c>
      <c r="E26" s="235">
        <f>10*0.8</f>
        <v>8</v>
      </c>
      <c r="F26" s="235">
        <f>10*1.2</f>
        <v>12</v>
      </c>
      <c r="G26" s="51">
        <f t="shared" si="3"/>
        <v>1080</v>
      </c>
      <c r="H26" s="526"/>
      <c r="I26" s="61">
        <v>1.7650790063593934E-3</v>
      </c>
      <c r="J26" s="62">
        <v>20.744386708890449</v>
      </c>
      <c r="K26" s="235" t="s">
        <v>634</v>
      </c>
      <c r="L26" s="235" t="s">
        <v>618</v>
      </c>
      <c r="M26" s="235" t="s">
        <v>619</v>
      </c>
      <c r="N26" s="235" t="s">
        <v>26</v>
      </c>
      <c r="O26" s="250" t="s">
        <v>620</v>
      </c>
      <c r="P26" s="103" t="s">
        <v>621</v>
      </c>
      <c r="Q26" s="47"/>
    </row>
    <row r="27" spans="1:17" ht="27.6" x14ac:dyDescent="0.3">
      <c r="A27" s="413"/>
      <c r="B27" s="250" t="s">
        <v>623</v>
      </c>
      <c r="C27" s="51">
        <f>SUM(C24:C26)</f>
        <v>18136.8</v>
      </c>
      <c r="D27" s="51">
        <f t="shared" ref="D27:F27" si="4">SUM(D24:D26)</f>
        <v>27205.200000000001</v>
      </c>
      <c r="E27" s="63">
        <f t="shared" si="4"/>
        <v>16.8</v>
      </c>
      <c r="F27" s="63">
        <f t="shared" si="4"/>
        <v>25.2</v>
      </c>
      <c r="G27" s="51">
        <f t="shared" si="3"/>
        <v>1079.5714285714287</v>
      </c>
      <c r="H27" s="527"/>
      <c r="I27" s="61">
        <v>4.244847030593882E-3</v>
      </c>
      <c r="J27" s="62">
        <v>20.744386708890449</v>
      </c>
      <c r="K27" s="235" t="s">
        <v>634</v>
      </c>
      <c r="L27" s="235" t="s">
        <v>618</v>
      </c>
      <c r="M27" s="235" t="s">
        <v>619</v>
      </c>
      <c r="N27" s="235" t="s">
        <v>26</v>
      </c>
      <c r="O27" s="250" t="s">
        <v>620</v>
      </c>
      <c r="P27" s="103" t="s">
        <v>621</v>
      </c>
      <c r="Q27" s="47"/>
    </row>
    <row r="28" spans="1:17" ht="27.6" x14ac:dyDescent="0.3">
      <c r="A28" s="413" t="s">
        <v>659</v>
      </c>
      <c r="B28" s="234" t="s">
        <v>616</v>
      </c>
      <c r="C28" s="241">
        <v>10600</v>
      </c>
      <c r="D28" s="241">
        <v>16000</v>
      </c>
      <c r="E28" s="234" t="s">
        <v>26</v>
      </c>
      <c r="F28" s="234" t="s">
        <v>26</v>
      </c>
      <c r="G28" s="49">
        <f>((C28+D28)/2)/17277</f>
        <v>0.76980957342131162</v>
      </c>
      <c r="H28" s="515" t="s">
        <v>660</v>
      </c>
      <c r="I28" s="234" t="s">
        <v>26</v>
      </c>
      <c r="J28" s="234" t="s">
        <v>26</v>
      </c>
      <c r="K28" s="234" t="s">
        <v>634</v>
      </c>
      <c r="L28" s="234" t="s">
        <v>618</v>
      </c>
      <c r="M28" s="234" t="s">
        <v>619</v>
      </c>
      <c r="N28" s="234" t="s">
        <v>26</v>
      </c>
      <c r="O28" s="249" t="s">
        <v>620</v>
      </c>
      <c r="P28" s="107" t="s">
        <v>621</v>
      </c>
      <c r="Q28" s="48"/>
    </row>
    <row r="29" spans="1:17" ht="27.6" x14ac:dyDescent="0.3">
      <c r="A29" s="413"/>
      <c r="B29" s="234" t="s">
        <v>622</v>
      </c>
      <c r="C29" s="520">
        <v>11705</v>
      </c>
      <c r="D29" s="521"/>
      <c r="E29" s="522" t="s">
        <v>26</v>
      </c>
      <c r="F29" s="523"/>
      <c r="G29" s="49">
        <f t="shared" ref="G29:G33" si="5">((C29+D29)/2)/17277</f>
        <v>0.33874515251490422</v>
      </c>
      <c r="H29" s="516"/>
      <c r="I29" s="234" t="s">
        <v>26</v>
      </c>
      <c r="J29" s="234" t="s">
        <v>26</v>
      </c>
      <c r="K29" s="234" t="s">
        <v>634</v>
      </c>
      <c r="L29" s="234" t="s">
        <v>618</v>
      </c>
      <c r="M29" s="234" t="s">
        <v>619</v>
      </c>
      <c r="N29" s="234" t="s">
        <v>26</v>
      </c>
      <c r="O29" s="249" t="s">
        <v>620</v>
      </c>
      <c r="P29" s="107" t="s">
        <v>621</v>
      </c>
      <c r="Q29" s="48"/>
    </row>
    <row r="30" spans="1:17" ht="27.6" x14ac:dyDescent="0.3">
      <c r="A30" s="413"/>
      <c r="B30" s="234">
        <v>2020</v>
      </c>
      <c r="C30" s="241">
        <v>9561</v>
      </c>
      <c r="D30" s="241">
        <v>11575</v>
      </c>
      <c r="E30" s="234" t="s">
        <v>26</v>
      </c>
      <c r="F30" s="234" t="s">
        <v>26</v>
      </c>
      <c r="G30" s="49">
        <f t="shared" si="5"/>
        <v>0.61168026856514446</v>
      </c>
      <c r="H30" s="516"/>
      <c r="I30" s="64">
        <v>1.1794883180063205E-2</v>
      </c>
      <c r="J30" s="240">
        <v>24.68687206219596</v>
      </c>
      <c r="K30" s="234" t="s">
        <v>634</v>
      </c>
      <c r="L30" s="234" t="s">
        <v>618</v>
      </c>
      <c r="M30" s="234" t="s">
        <v>619</v>
      </c>
      <c r="N30" s="234" t="s">
        <v>26</v>
      </c>
      <c r="O30" s="249" t="s">
        <v>620</v>
      </c>
      <c r="P30" s="107" t="s">
        <v>621</v>
      </c>
      <c r="Q30" s="48"/>
    </row>
    <row r="31" spans="1:17" ht="27.6" x14ac:dyDescent="0.3">
      <c r="A31" s="413"/>
      <c r="B31" s="234">
        <v>2021</v>
      </c>
      <c r="C31" s="241">
        <v>9561</v>
      </c>
      <c r="D31" s="241">
        <v>11575</v>
      </c>
      <c r="E31" s="234" t="s">
        <v>26</v>
      </c>
      <c r="F31" s="234" t="s">
        <v>26</v>
      </c>
      <c r="G31" s="49">
        <f t="shared" si="5"/>
        <v>0.61168026856514446</v>
      </c>
      <c r="H31" s="516"/>
      <c r="I31" s="64">
        <v>1.0617294776376376E-2</v>
      </c>
      <c r="J31" s="240">
        <v>24.68687206219596</v>
      </c>
      <c r="K31" s="234" t="s">
        <v>634</v>
      </c>
      <c r="L31" s="234" t="s">
        <v>618</v>
      </c>
      <c r="M31" s="234" t="s">
        <v>619</v>
      </c>
      <c r="N31" s="234" t="s">
        <v>26</v>
      </c>
      <c r="O31" s="249" t="s">
        <v>620</v>
      </c>
      <c r="P31" s="107" t="s">
        <v>621</v>
      </c>
      <c r="Q31" s="48"/>
    </row>
    <row r="32" spans="1:17" ht="27.6" x14ac:dyDescent="0.3">
      <c r="A32" s="413"/>
      <c r="B32" s="234">
        <v>2022</v>
      </c>
      <c r="C32" s="241">
        <v>9561</v>
      </c>
      <c r="D32" s="241">
        <v>11575</v>
      </c>
      <c r="E32" s="234" t="s">
        <v>26</v>
      </c>
      <c r="F32" s="234" t="s">
        <v>26</v>
      </c>
      <c r="G32" s="49">
        <f t="shared" si="5"/>
        <v>0.61168026856514446</v>
      </c>
      <c r="H32" s="516"/>
      <c r="I32" s="64">
        <v>8.7935562668613916E-3</v>
      </c>
      <c r="J32" s="240">
        <v>24.68687206219596</v>
      </c>
      <c r="K32" s="234" t="s">
        <v>634</v>
      </c>
      <c r="L32" s="234" t="s">
        <v>618</v>
      </c>
      <c r="M32" s="234" t="s">
        <v>619</v>
      </c>
      <c r="N32" s="234" t="s">
        <v>26</v>
      </c>
      <c r="O32" s="249" t="s">
        <v>620</v>
      </c>
      <c r="P32" s="107" t="s">
        <v>621</v>
      </c>
      <c r="Q32" s="48"/>
    </row>
    <row r="33" spans="1:17" ht="27.6" x14ac:dyDescent="0.3">
      <c r="A33" s="413"/>
      <c r="B33" s="249" t="s">
        <v>623</v>
      </c>
      <c r="C33" s="241">
        <f>SUM(C30:C32)</f>
        <v>28683</v>
      </c>
      <c r="D33" s="241">
        <f>SUM(D30:D32)</f>
        <v>34725</v>
      </c>
      <c r="E33" s="234" t="s">
        <v>26</v>
      </c>
      <c r="F33" s="234" t="s">
        <v>26</v>
      </c>
      <c r="G33" s="49">
        <f t="shared" si="5"/>
        <v>1.8350408056954333</v>
      </c>
      <c r="H33" s="517"/>
      <c r="I33" s="64">
        <v>3.1205734223300967E-2</v>
      </c>
      <c r="J33" s="240">
        <v>24.68687206219596</v>
      </c>
      <c r="K33" s="234" t="s">
        <v>634</v>
      </c>
      <c r="L33" s="234" t="s">
        <v>618</v>
      </c>
      <c r="M33" s="234" t="s">
        <v>619</v>
      </c>
      <c r="N33" s="234" t="s">
        <v>26</v>
      </c>
      <c r="O33" s="249" t="s">
        <v>620</v>
      </c>
      <c r="P33" s="107" t="s">
        <v>621</v>
      </c>
      <c r="Q33" s="48"/>
    </row>
    <row r="34" spans="1:17" ht="27.6" x14ac:dyDescent="0.3">
      <c r="A34" s="413" t="s">
        <v>661</v>
      </c>
      <c r="B34" s="235" t="s">
        <v>616</v>
      </c>
      <c r="C34" s="65">
        <v>7800</v>
      </c>
      <c r="D34" s="65">
        <v>11600</v>
      </c>
      <c r="E34" s="235" t="s">
        <v>26</v>
      </c>
      <c r="F34" s="235" t="s">
        <v>26</v>
      </c>
      <c r="G34" s="50">
        <f>((C34+D34)/2)/17277</f>
        <v>0.56144006482606934</v>
      </c>
      <c r="H34" s="525" t="s">
        <v>662</v>
      </c>
      <c r="I34" s="235" t="s">
        <v>26</v>
      </c>
      <c r="J34" s="235" t="s">
        <v>26</v>
      </c>
      <c r="K34" s="235" t="s">
        <v>26</v>
      </c>
      <c r="L34" s="235" t="s">
        <v>625</v>
      </c>
      <c r="M34" s="235" t="s">
        <v>26</v>
      </c>
      <c r="N34" s="235" t="s">
        <v>638</v>
      </c>
      <c r="O34" s="250" t="s">
        <v>620</v>
      </c>
      <c r="P34" s="103" t="s">
        <v>621</v>
      </c>
      <c r="Q34" s="47"/>
    </row>
    <row r="35" spans="1:17" ht="27.6" x14ac:dyDescent="0.3">
      <c r="A35" s="413"/>
      <c r="B35" s="235" t="s">
        <v>622</v>
      </c>
      <c r="C35" s="505">
        <v>3716</v>
      </c>
      <c r="D35" s="506"/>
      <c r="E35" s="507" t="s">
        <v>26</v>
      </c>
      <c r="F35" s="508"/>
      <c r="G35" s="50">
        <f>((C35+D35)/2)/17277</f>
        <v>0.10754181860276668</v>
      </c>
      <c r="H35" s="526"/>
      <c r="I35" s="235" t="s">
        <v>26</v>
      </c>
      <c r="J35" s="235" t="s">
        <v>26</v>
      </c>
      <c r="K35" s="235" t="s">
        <v>26</v>
      </c>
      <c r="L35" s="235" t="s">
        <v>625</v>
      </c>
      <c r="M35" s="235" t="s">
        <v>26</v>
      </c>
      <c r="N35" s="235" t="s">
        <v>638</v>
      </c>
      <c r="O35" s="250" t="s">
        <v>620</v>
      </c>
      <c r="P35" s="103" t="s">
        <v>621</v>
      </c>
      <c r="Q35" s="47"/>
    </row>
    <row r="36" spans="1:17" ht="27.6" x14ac:dyDescent="0.3">
      <c r="A36" s="413"/>
      <c r="B36" s="235">
        <v>2020</v>
      </c>
      <c r="C36" s="51">
        <f>3737*0.8</f>
        <v>2989.6000000000004</v>
      </c>
      <c r="D36" s="51">
        <f>3737*1.2</f>
        <v>4484.3999999999996</v>
      </c>
      <c r="E36" s="235" t="s">
        <v>26</v>
      </c>
      <c r="F36" s="235" t="s">
        <v>26</v>
      </c>
      <c r="G36" s="50">
        <f>((C36+D36)/2)/17277</f>
        <v>0.21629912600567228</v>
      </c>
      <c r="H36" s="526"/>
      <c r="I36" s="61">
        <v>2.4142445820898193E-3</v>
      </c>
      <c r="J36" s="62">
        <v>107.74550588951195</v>
      </c>
      <c r="K36" s="235" t="s">
        <v>26</v>
      </c>
      <c r="L36" s="235" t="s">
        <v>625</v>
      </c>
      <c r="M36" s="235" t="s">
        <v>26</v>
      </c>
      <c r="N36" s="235" t="s">
        <v>638</v>
      </c>
      <c r="O36" s="250" t="s">
        <v>620</v>
      </c>
      <c r="P36" s="103" t="s">
        <v>621</v>
      </c>
      <c r="Q36" s="47"/>
    </row>
    <row r="37" spans="1:17" ht="27.6" x14ac:dyDescent="0.3">
      <c r="A37" s="413"/>
      <c r="B37" s="235">
        <v>2021</v>
      </c>
      <c r="C37" s="51">
        <f>4983*0.8</f>
        <v>3986.4</v>
      </c>
      <c r="D37" s="51">
        <f>4983*1.2</f>
        <v>5979.5999999999995</v>
      </c>
      <c r="E37" s="235" t="s">
        <v>26</v>
      </c>
      <c r="F37" s="235" t="s">
        <v>26</v>
      </c>
      <c r="G37" s="50">
        <f t="shared" ref="G37:G39" si="6">((C37+D37)/2)/17277</f>
        <v>0.28841812814724777</v>
      </c>
      <c r="H37" s="526"/>
      <c r="I37" s="61">
        <v>7.541859542388573E-4</v>
      </c>
      <c r="J37" s="62">
        <v>24.507066265069149</v>
      </c>
      <c r="K37" s="235" t="s">
        <v>26</v>
      </c>
      <c r="L37" s="235" t="s">
        <v>625</v>
      </c>
      <c r="M37" s="235" t="s">
        <v>26</v>
      </c>
      <c r="N37" s="235" t="s">
        <v>638</v>
      </c>
      <c r="O37" s="250" t="s">
        <v>620</v>
      </c>
      <c r="P37" s="103" t="s">
        <v>621</v>
      </c>
      <c r="Q37" s="47"/>
    </row>
    <row r="38" spans="1:17" ht="27.6" x14ac:dyDescent="0.3">
      <c r="A38" s="413"/>
      <c r="B38" s="235">
        <v>2022</v>
      </c>
      <c r="C38" s="65">
        <f>1903*0.8</f>
        <v>1522.4</v>
      </c>
      <c r="D38" s="65">
        <f>1903*1.2</f>
        <v>2283.6</v>
      </c>
      <c r="E38" s="235" t="s">
        <v>26</v>
      </c>
      <c r="F38" s="235" t="s">
        <v>26</v>
      </c>
      <c r="G38" s="50">
        <f t="shared" si="6"/>
        <v>0.11014643746020721</v>
      </c>
      <c r="H38" s="526"/>
      <c r="I38" s="61">
        <v>2.8941885993916149E-4</v>
      </c>
      <c r="J38" s="62">
        <v>23.908624309370836</v>
      </c>
      <c r="K38" s="235" t="s">
        <v>26</v>
      </c>
      <c r="L38" s="235" t="s">
        <v>625</v>
      </c>
      <c r="M38" s="235" t="s">
        <v>26</v>
      </c>
      <c r="N38" s="235" t="s">
        <v>638</v>
      </c>
      <c r="O38" s="250" t="s">
        <v>620</v>
      </c>
      <c r="P38" s="103" t="s">
        <v>621</v>
      </c>
      <c r="Q38" s="47"/>
    </row>
    <row r="39" spans="1:17" ht="27.6" x14ac:dyDescent="0.3">
      <c r="A39" s="413"/>
      <c r="B39" s="250" t="s">
        <v>623</v>
      </c>
      <c r="C39" s="51">
        <f>SUM(C36:C38)</f>
        <v>8498.4</v>
      </c>
      <c r="D39" s="51">
        <f>SUM(D36:D38)</f>
        <v>12747.6</v>
      </c>
      <c r="E39" s="235" t="s">
        <v>26</v>
      </c>
      <c r="F39" s="235" t="s">
        <v>26</v>
      </c>
      <c r="G39" s="50">
        <f t="shared" si="6"/>
        <v>0.61486369161312726</v>
      </c>
      <c r="H39" s="527"/>
      <c r="I39" s="61">
        <v>3.4578493962678382E-3</v>
      </c>
      <c r="J39" s="62">
        <v>52.987549803697917</v>
      </c>
      <c r="K39" s="235" t="s">
        <v>26</v>
      </c>
      <c r="L39" s="235" t="s">
        <v>625</v>
      </c>
      <c r="M39" s="235" t="s">
        <v>26</v>
      </c>
      <c r="N39" s="235" t="s">
        <v>638</v>
      </c>
      <c r="O39" s="250" t="s">
        <v>620</v>
      </c>
      <c r="P39" s="103" t="s">
        <v>621</v>
      </c>
      <c r="Q39" s="47"/>
    </row>
    <row r="40" spans="1:17" ht="27.6" x14ac:dyDescent="0.3">
      <c r="A40" s="413" t="s">
        <v>663</v>
      </c>
      <c r="B40" s="234" t="s">
        <v>616</v>
      </c>
      <c r="C40" s="241">
        <v>400</v>
      </c>
      <c r="D40" s="241">
        <v>700</v>
      </c>
      <c r="E40" s="234" t="s">
        <v>26</v>
      </c>
      <c r="F40" s="234" t="s">
        <v>26</v>
      </c>
      <c r="G40" s="49">
        <f>((C40+D40)/2)/17277</f>
        <v>3.1834230479828675E-2</v>
      </c>
      <c r="H40" s="515" t="s">
        <v>664</v>
      </c>
      <c r="I40" s="234" t="s">
        <v>26</v>
      </c>
      <c r="J40" s="234" t="s">
        <v>26</v>
      </c>
      <c r="K40" s="234" t="s">
        <v>634</v>
      </c>
      <c r="L40" s="66" t="s">
        <v>625</v>
      </c>
      <c r="M40" s="66" t="s">
        <v>26</v>
      </c>
      <c r="N40" s="66" t="s">
        <v>638</v>
      </c>
      <c r="O40" s="249" t="s">
        <v>620</v>
      </c>
      <c r="P40" s="107" t="s">
        <v>621</v>
      </c>
      <c r="Q40" s="48"/>
    </row>
    <row r="41" spans="1:17" ht="27.6" x14ac:dyDescent="0.3">
      <c r="A41" s="413"/>
      <c r="B41" s="234" t="s">
        <v>622</v>
      </c>
      <c r="C41" s="520">
        <v>1303</v>
      </c>
      <c r="D41" s="521"/>
      <c r="E41" s="234" t="s">
        <v>26</v>
      </c>
      <c r="F41" s="234" t="s">
        <v>26</v>
      </c>
      <c r="G41" s="49">
        <f t="shared" ref="G41:G45" si="7">((C41+D41)/2)/17277</f>
        <v>3.770909301383342E-2</v>
      </c>
      <c r="H41" s="516"/>
      <c r="I41" s="234" t="s">
        <v>26</v>
      </c>
      <c r="J41" s="234" t="s">
        <v>26</v>
      </c>
      <c r="K41" s="234" t="s">
        <v>634</v>
      </c>
      <c r="L41" s="66" t="s">
        <v>625</v>
      </c>
      <c r="M41" s="66" t="s">
        <v>26</v>
      </c>
      <c r="N41" s="66" t="s">
        <v>638</v>
      </c>
      <c r="O41" s="249" t="s">
        <v>620</v>
      </c>
      <c r="P41" s="107" t="s">
        <v>621</v>
      </c>
      <c r="Q41" s="48"/>
    </row>
    <row r="42" spans="1:17" ht="27.6" x14ac:dyDescent="0.3">
      <c r="A42" s="413"/>
      <c r="B42" s="234">
        <v>2020</v>
      </c>
      <c r="C42" s="241">
        <v>400</v>
      </c>
      <c r="D42" s="241">
        <v>700</v>
      </c>
      <c r="E42" s="234" t="s">
        <v>26</v>
      </c>
      <c r="F42" s="234" t="s">
        <v>26</v>
      </c>
      <c r="G42" s="49">
        <f t="shared" si="7"/>
        <v>3.1834230479828675E-2</v>
      </c>
      <c r="H42" s="516"/>
      <c r="I42" s="234">
        <v>0</v>
      </c>
      <c r="J42" s="234">
        <v>0</v>
      </c>
      <c r="K42" s="234" t="s">
        <v>634</v>
      </c>
      <c r="L42" s="66" t="s">
        <v>625</v>
      </c>
      <c r="M42" s="66" t="s">
        <v>26</v>
      </c>
      <c r="N42" s="66" t="s">
        <v>638</v>
      </c>
      <c r="O42" s="249" t="s">
        <v>620</v>
      </c>
      <c r="P42" s="107" t="s">
        <v>621</v>
      </c>
      <c r="Q42" s="48"/>
    </row>
    <row r="43" spans="1:17" ht="27.6" x14ac:dyDescent="0.3">
      <c r="A43" s="413"/>
      <c r="B43" s="234">
        <v>2021</v>
      </c>
      <c r="C43" s="241">
        <v>400</v>
      </c>
      <c r="D43" s="241">
        <v>700</v>
      </c>
      <c r="E43" s="234" t="s">
        <v>26</v>
      </c>
      <c r="F43" s="234" t="s">
        <v>26</v>
      </c>
      <c r="G43" s="49">
        <f t="shared" si="7"/>
        <v>3.1834230479828675E-2</v>
      </c>
      <c r="H43" s="516"/>
      <c r="I43" s="234">
        <v>0</v>
      </c>
      <c r="J43" s="234">
        <v>0</v>
      </c>
      <c r="K43" s="234" t="s">
        <v>634</v>
      </c>
      <c r="L43" s="66" t="s">
        <v>625</v>
      </c>
      <c r="M43" s="66" t="s">
        <v>26</v>
      </c>
      <c r="N43" s="66" t="s">
        <v>638</v>
      </c>
      <c r="O43" s="249" t="s">
        <v>620</v>
      </c>
      <c r="P43" s="107" t="s">
        <v>621</v>
      </c>
      <c r="Q43" s="48"/>
    </row>
    <row r="44" spans="1:17" ht="27.6" x14ac:dyDescent="0.3">
      <c r="A44" s="413"/>
      <c r="B44" s="234">
        <v>2022</v>
      </c>
      <c r="C44" s="241">
        <v>400</v>
      </c>
      <c r="D44" s="241">
        <v>700</v>
      </c>
      <c r="E44" s="234" t="s">
        <v>26</v>
      </c>
      <c r="F44" s="234" t="s">
        <v>26</v>
      </c>
      <c r="G44" s="49">
        <f t="shared" si="7"/>
        <v>3.1834230479828675E-2</v>
      </c>
      <c r="H44" s="516"/>
      <c r="I44" s="234">
        <v>0</v>
      </c>
      <c r="J44" s="234">
        <v>0</v>
      </c>
      <c r="K44" s="234" t="s">
        <v>634</v>
      </c>
      <c r="L44" s="66" t="s">
        <v>625</v>
      </c>
      <c r="M44" s="66" t="s">
        <v>26</v>
      </c>
      <c r="N44" s="66" t="s">
        <v>638</v>
      </c>
      <c r="O44" s="249" t="s">
        <v>620</v>
      </c>
      <c r="P44" s="107" t="s">
        <v>621</v>
      </c>
      <c r="Q44" s="48"/>
    </row>
    <row r="45" spans="1:17" ht="27.6" x14ac:dyDescent="0.3">
      <c r="A45" s="413"/>
      <c r="B45" s="249" t="s">
        <v>623</v>
      </c>
      <c r="C45" s="241">
        <f>SUM(C42:C44)</f>
        <v>1200</v>
      </c>
      <c r="D45" s="241">
        <f>SUM(D42:D44)</f>
        <v>2100</v>
      </c>
      <c r="E45" s="234" t="s">
        <v>26</v>
      </c>
      <c r="F45" s="234" t="s">
        <v>26</v>
      </c>
      <c r="G45" s="49">
        <f t="shared" si="7"/>
        <v>9.5502691439486018E-2</v>
      </c>
      <c r="H45" s="517"/>
      <c r="I45" s="234">
        <v>0</v>
      </c>
      <c r="J45" s="234">
        <v>0</v>
      </c>
      <c r="K45" s="234" t="s">
        <v>634</v>
      </c>
      <c r="L45" s="66" t="s">
        <v>625</v>
      </c>
      <c r="M45" s="66" t="s">
        <v>26</v>
      </c>
      <c r="N45" s="66" t="s">
        <v>638</v>
      </c>
      <c r="O45" s="249" t="s">
        <v>620</v>
      </c>
      <c r="P45" s="107" t="s">
        <v>621</v>
      </c>
      <c r="Q45" s="48"/>
    </row>
    <row r="46" spans="1:17" ht="27.6" x14ac:dyDescent="0.3">
      <c r="A46" s="413" t="s">
        <v>665</v>
      </c>
      <c r="B46" s="235" t="s">
        <v>616</v>
      </c>
      <c r="C46" s="51">
        <v>1200</v>
      </c>
      <c r="D46" s="51">
        <v>1800</v>
      </c>
      <c r="E46" s="235" t="s">
        <v>26</v>
      </c>
      <c r="F46" s="235" t="s">
        <v>26</v>
      </c>
      <c r="G46" s="50">
        <f>((C46+D46)/2)/17277</f>
        <v>8.6820628581350923E-2</v>
      </c>
      <c r="H46" s="525" t="s">
        <v>666</v>
      </c>
      <c r="I46" s="235" t="s">
        <v>26</v>
      </c>
      <c r="J46" s="235" t="s">
        <v>26</v>
      </c>
      <c r="K46" s="235" t="s">
        <v>634</v>
      </c>
      <c r="L46" s="235" t="s">
        <v>618</v>
      </c>
      <c r="M46" s="235" t="s">
        <v>619</v>
      </c>
      <c r="N46" s="235" t="s">
        <v>26</v>
      </c>
      <c r="O46" s="250" t="s">
        <v>620</v>
      </c>
      <c r="P46" s="103" t="s">
        <v>621</v>
      </c>
      <c r="Q46" s="47"/>
    </row>
    <row r="47" spans="1:17" ht="27.6" x14ac:dyDescent="0.3">
      <c r="A47" s="413"/>
      <c r="B47" s="235" t="s">
        <v>622</v>
      </c>
      <c r="C47" s="505">
        <v>921.92140999999992</v>
      </c>
      <c r="D47" s="506"/>
      <c r="E47" s="507" t="s">
        <v>26</v>
      </c>
      <c r="F47" s="508"/>
      <c r="G47" s="50">
        <f t="shared" ref="G47:G51" si="8">((C47+D47)/2)/17277</f>
        <v>2.6680598772935115E-2</v>
      </c>
      <c r="H47" s="526"/>
      <c r="I47" s="235" t="s">
        <v>26</v>
      </c>
      <c r="J47" s="235" t="s">
        <v>26</v>
      </c>
      <c r="K47" s="235" t="s">
        <v>634</v>
      </c>
      <c r="L47" s="235" t="s">
        <v>618</v>
      </c>
      <c r="M47" s="235" t="s">
        <v>619</v>
      </c>
      <c r="N47" s="235" t="s">
        <v>26</v>
      </c>
      <c r="O47" s="250" t="s">
        <v>620</v>
      </c>
      <c r="P47" s="103" t="s">
        <v>621</v>
      </c>
      <c r="Q47" s="47"/>
    </row>
    <row r="48" spans="1:17" ht="27.6" x14ac:dyDescent="0.3">
      <c r="A48" s="413"/>
      <c r="B48" s="235">
        <v>2020</v>
      </c>
      <c r="C48" s="51">
        <v>2400</v>
      </c>
      <c r="D48" s="51">
        <v>3600</v>
      </c>
      <c r="E48" s="235" t="s">
        <v>26</v>
      </c>
      <c r="F48" s="235" t="s">
        <v>26</v>
      </c>
      <c r="G48" s="50">
        <f t="shared" si="8"/>
        <v>0.17364125716270185</v>
      </c>
      <c r="H48" s="526"/>
      <c r="I48" s="61">
        <v>1.1850222987354936E-3</v>
      </c>
      <c r="J48" s="62">
        <v>65.878888754873159</v>
      </c>
      <c r="K48" s="235" t="s">
        <v>634</v>
      </c>
      <c r="L48" s="235" t="s">
        <v>618</v>
      </c>
      <c r="M48" s="235" t="s">
        <v>619</v>
      </c>
      <c r="N48" s="235" t="s">
        <v>26</v>
      </c>
      <c r="O48" s="250" t="s">
        <v>620</v>
      </c>
      <c r="P48" s="103" t="s">
        <v>621</v>
      </c>
      <c r="Q48" s="47"/>
    </row>
    <row r="49" spans="1:20" ht="27.6" x14ac:dyDescent="0.3">
      <c r="A49" s="413"/>
      <c r="B49" s="235">
        <v>2021</v>
      </c>
      <c r="C49" s="51">
        <v>2400</v>
      </c>
      <c r="D49" s="51">
        <v>3600</v>
      </c>
      <c r="E49" s="235" t="s">
        <v>26</v>
      </c>
      <c r="F49" s="235" t="s">
        <v>26</v>
      </c>
      <c r="G49" s="50">
        <f t="shared" si="8"/>
        <v>0.17364125716270185</v>
      </c>
      <c r="H49" s="526"/>
      <c r="I49" s="61">
        <v>1.1850222987354936E-3</v>
      </c>
      <c r="J49" s="62">
        <v>63.960086169779771</v>
      </c>
      <c r="K49" s="235" t="s">
        <v>634</v>
      </c>
      <c r="L49" s="235" t="s">
        <v>618</v>
      </c>
      <c r="M49" s="235" t="s">
        <v>619</v>
      </c>
      <c r="N49" s="235" t="s">
        <v>26</v>
      </c>
      <c r="O49" s="250" t="s">
        <v>620</v>
      </c>
      <c r="P49" s="103" t="s">
        <v>621</v>
      </c>
      <c r="Q49" s="47"/>
    </row>
    <row r="50" spans="1:20" ht="27.6" x14ac:dyDescent="0.3">
      <c r="A50" s="413"/>
      <c r="B50" s="235">
        <v>2022</v>
      </c>
      <c r="C50" s="51">
        <v>2400</v>
      </c>
      <c r="D50" s="51">
        <v>3600</v>
      </c>
      <c r="E50" s="235" t="s">
        <v>26</v>
      </c>
      <c r="F50" s="235" t="s">
        <v>26</v>
      </c>
      <c r="G50" s="50">
        <f t="shared" si="8"/>
        <v>0.17364125716270185</v>
      </c>
      <c r="H50" s="526"/>
      <c r="I50" s="61">
        <v>1.5696668802049968E-4</v>
      </c>
      <c r="J50" s="62">
        <v>8.2253197123596955</v>
      </c>
      <c r="K50" s="235" t="s">
        <v>634</v>
      </c>
      <c r="L50" s="235" t="s">
        <v>618</v>
      </c>
      <c r="M50" s="235" t="s">
        <v>619</v>
      </c>
      <c r="N50" s="235" t="s">
        <v>26</v>
      </c>
      <c r="O50" s="250" t="s">
        <v>620</v>
      </c>
      <c r="P50" s="103" t="s">
        <v>621</v>
      </c>
      <c r="Q50" s="47"/>
    </row>
    <row r="51" spans="1:20" ht="27.6" x14ac:dyDescent="0.3">
      <c r="A51" s="413"/>
      <c r="B51" s="250" t="s">
        <v>623</v>
      </c>
      <c r="C51" s="51">
        <f>SUM(C48:C50)</f>
        <v>7200</v>
      </c>
      <c r="D51" s="51">
        <f>SUM(D48:D50)</f>
        <v>10800</v>
      </c>
      <c r="E51" s="235" t="s">
        <v>26</v>
      </c>
      <c r="F51" s="235" t="s">
        <v>26</v>
      </c>
      <c r="G51" s="50">
        <f t="shared" si="8"/>
        <v>0.52092377148810554</v>
      </c>
      <c r="H51" s="527"/>
      <c r="I51" s="61">
        <v>2.5270112854914872E-3</v>
      </c>
      <c r="J51" s="62">
        <v>46.021431545670879</v>
      </c>
      <c r="K51" s="235" t="s">
        <v>634</v>
      </c>
      <c r="L51" s="235" t="s">
        <v>618</v>
      </c>
      <c r="M51" s="235" t="s">
        <v>619</v>
      </c>
      <c r="N51" s="235" t="s">
        <v>26</v>
      </c>
      <c r="O51" s="250" t="s">
        <v>620</v>
      </c>
      <c r="P51" s="103" t="s">
        <v>621</v>
      </c>
      <c r="Q51" s="47"/>
    </row>
    <row r="52" spans="1:20" ht="27.6" x14ac:dyDescent="0.3">
      <c r="A52" s="413" t="s">
        <v>667</v>
      </c>
      <c r="B52" s="234" t="s">
        <v>616</v>
      </c>
      <c r="C52" s="241">
        <v>2400</v>
      </c>
      <c r="D52" s="241">
        <v>3600</v>
      </c>
      <c r="E52" s="234" t="s">
        <v>26</v>
      </c>
      <c r="F52" s="234" t="s">
        <v>26</v>
      </c>
      <c r="G52" s="49">
        <f>((C52+D52)/2)/17277</f>
        <v>0.17364125716270185</v>
      </c>
      <c r="H52" s="515" t="s">
        <v>664</v>
      </c>
      <c r="I52" s="234" t="s">
        <v>26</v>
      </c>
      <c r="J52" s="234" t="s">
        <v>26</v>
      </c>
      <c r="K52" s="234" t="s">
        <v>634</v>
      </c>
      <c r="L52" s="234" t="s">
        <v>618</v>
      </c>
      <c r="M52" s="234" t="s">
        <v>619</v>
      </c>
      <c r="N52" s="234" t="s">
        <v>26</v>
      </c>
      <c r="O52" s="249" t="s">
        <v>620</v>
      </c>
      <c r="P52" s="107" t="s">
        <v>621</v>
      </c>
      <c r="Q52" s="48"/>
    </row>
    <row r="53" spans="1:20" ht="27.6" x14ac:dyDescent="0.3">
      <c r="A53" s="413"/>
      <c r="B53" s="234" t="s">
        <v>622</v>
      </c>
      <c r="C53" s="520">
        <v>188</v>
      </c>
      <c r="D53" s="521"/>
      <c r="E53" s="234" t="s">
        <v>26</v>
      </c>
      <c r="F53" s="234" t="s">
        <v>26</v>
      </c>
      <c r="G53" s="49">
        <f t="shared" ref="G53:G57" si="9">((C53+D53)/2)/17277</f>
        <v>5.4407593910979915E-3</v>
      </c>
      <c r="H53" s="516"/>
      <c r="I53" s="234" t="s">
        <v>26</v>
      </c>
      <c r="J53" s="234" t="s">
        <v>26</v>
      </c>
      <c r="K53" s="234" t="s">
        <v>634</v>
      </c>
      <c r="L53" s="234" t="s">
        <v>618</v>
      </c>
      <c r="M53" s="234" t="s">
        <v>619</v>
      </c>
      <c r="N53" s="234" t="s">
        <v>26</v>
      </c>
      <c r="O53" s="249" t="s">
        <v>620</v>
      </c>
      <c r="P53" s="107" t="s">
        <v>621</v>
      </c>
      <c r="Q53" s="48"/>
    </row>
    <row r="54" spans="1:20" ht="27.6" x14ac:dyDescent="0.3">
      <c r="A54" s="413"/>
      <c r="B54" s="234">
        <v>2020</v>
      </c>
      <c r="C54" s="241">
        <v>10260</v>
      </c>
      <c r="D54" s="241">
        <v>12420</v>
      </c>
      <c r="E54" s="234" t="s">
        <v>26</v>
      </c>
      <c r="F54" s="234" t="s">
        <v>26</v>
      </c>
      <c r="G54" s="49">
        <f t="shared" si="9"/>
        <v>0.65636395207501297</v>
      </c>
      <c r="H54" s="516"/>
      <c r="I54" s="234">
        <v>0</v>
      </c>
      <c r="J54" s="234">
        <v>0</v>
      </c>
      <c r="K54" s="234" t="s">
        <v>634</v>
      </c>
      <c r="L54" s="234" t="s">
        <v>618</v>
      </c>
      <c r="M54" s="234" t="s">
        <v>619</v>
      </c>
      <c r="N54" s="234" t="s">
        <v>26</v>
      </c>
      <c r="O54" s="249" t="s">
        <v>620</v>
      </c>
      <c r="P54" s="107" t="s">
        <v>621</v>
      </c>
      <c r="Q54" s="48"/>
    </row>
    <row r="55" spans="1:20" ht="27.6" x14ac:dyDescent="0.3">
      <c r="A55" s="413"/>
      <c r="B55" s="234">
        <v>2021</v>
      </c>
      <c r="C55" s="241">
        <v>7600</v>
      </c>
      <c r="D55" s="241">
        <v>9200</v>
      </c>
      <c r="E55" s="234" t="s">
        <v>26</v>
      </c>
      <c r="F55" s="234" t="s">
        <v>26</v>
      </c>
      <c r="G55" s="49">
        <f t="shared" si="9"/>
        <v>0.48619552005556521</v>
      </c>
      <c r="H55" s="516"/>
      <c r="I55" s="234">
        <v>0</v>
      </c>
      <c r="J55" s="234">
        <v>0</v>
      </c>
      <c r="K55" s="234" t="s">
        <v>634</v>
      </c>
      <c r="L55" s="234" t="s">
        <v>618</v>
      </c>
      <c r="M55" s="234" t="s">
        <v>619</v>
      </c>
      <c r="N55" s="234" t="s">
        <v>26</v>
      </c>
      <c r="O55" s="249" t="s">
        <v>620</v>
      </c>
      <c r="P55" s="107" t="s">
        <v>621</v>
      </c>
      <c r="Q55" s="48"/>
    </row>
    <row r="56" spans="1:20" ht="27.6" x14ac:dyDescent="0.3">
      <c r="A56" s="413"/>
      <c r="B56" s="234">
        <v>2022</v>
      </c>
      <c r="C56" s="241">
        <v>7600</v>
      </c>
      <c r="D56" s="241">
        <v>9200</v>
      </c>
      <c r="E56" s="234" t="s">
        <v>26</v>
      </c>
      <c r="F56" s="234" t="s">
        <v>26</v>
      </c>
      <c r="G56" s="49">
        <f t="shared" si="9"/>
        <v>0.48619552005556521</v>
      </c>
      <c r="H56" s="516"/>
      <c r="I56" s="234">
        <v>0</v>
      </c>
      <c r="J56" s="234">
        <v>0</v>
      </c>
      <c r="K56" s="234" t="s">
        <v>634</v>
      </c>
      <c r="L56" s="234" t="s">
        <v>618</v>
      </c>
      <c r="M56" s="234" t="s">
        <v>619</v>
      </c>
      <c r="N56" s="234" t="s">
        <v>26</v>
      </c>
      <c r="O56" s="249" t="s">
        <v>620</v>
      </c>
      <c r="P56" s="107" t="s">
        <v>621</v>
      </c>
      <c r="Q56" s="48"/>
    </row>
    <row r="57" spans="1:20" ht="27.6" x14ac:dyDescent="0.3">
      <c r="A57" s="413"/>
      <c r="B57" s="249" t="s">
        <v>623</v>
      </c>
      <c r="C57" s="241">
        <f>SUM(C54:C56)</f>
        <v>25460</v>
      </c>
      <c r="D57" s="241">
        <f>SUM(D54:D56)</f>
        <v>30820</v>
      </c>
      <c r="E57" s="234" t="s">
        <v>26</v>
      </c>
      <c r="F57" s="234" t="s">
        <v>26</v>
      </c>
      <c r="G57" s="49">
        <f t="shared" si="9"/>
        <v>1.6287549921861435</v>
      </c>
      <c r="H57" s="517"/>
      <c r="I57" s="234">
        <v>0</v>
      </c>
      <c r="J57" s="234">
        <v>0</v>
      </c>
      <c r="K57" s="234" t="s">
        <v>634</v>
      </c>
      <c r="L57" s="234" t="s">
        <v>618</v>
      </c>
      <c r="M57" s="234" t="s">
        <v>619</v>
      </c>
      <c r="N57" s="234" t="s">
        <v>26</v>
      </c>
      <c r="O57" s="249" t="s">
        <v>620</v>
      </c>
      <c r="P57" s="107" t="s">
        <v>621</v>
      </c>
      <c r="Q57" s="48"/>
    </row>
    <row r="58" spans="1:20" ht="27.6" x14ac:dyDescent="0.3">
      <c r="A58" s="413" t="s">
        <v>668</v>
      </c>
      <c r="B58" s="235" t="s">
        <v>616</v>
      </c>
      <c r="C58" s="51">
        <v>500</v>
      </c>
      <c r="D58" s="51">
        <v>900</v>
      </c>
      <c r="E58" s="235" t="s">
        <v>26</v>
      </c>
      <c r="F58" s="235" t="s">
        <v>26</v>
      </c>
      <c r="G58" s="50">
        <f>((C58+D58)/2)/17277</f>
        <v>4.051629333796377E-2</v>
      </c>
      <c r="H58" s="525" t="s">
        <v>664</v>
      </c>
      <c r="I58" s="509" t="s">
        <v>630</v>
      </c>
      <c r="J58" s="510"/>
      <c r="K58" s="235" t="s">
        <v>26</v>
      </c>
      <c r="L58" s="235" t="s">
        <v>618</v>
      </c>
      <c r="M58" s="235" t="s">
        <v>619</v>
      </c>
      <c r="N58" s="235" t="s">
        <v>26</v>
      </c>
      <c r="O58" s="250" t="s">
        <v>620</v>
      </c>
      <c r="P58" s="103" t="s">
        <v>621</v>
      </c>
      <c r="Q58" s="47"/>
      <c r="S58" s="32"/>
      <c r="T58" s="32"/>
    </row>
    <row r="59" spans="1:20" ht="27.6" x14ac:dyDescent="0.3">
      <c r="A59" s="413"/>
      <c r="B59" s="235" t="s">
        <v>622</v>
      </c>
      <c r="C59" s="505">
        <f>866+592</f>
        <v>1458</v>
      </c>
      <c r="D59" s="506"/>
      <c r="E59" s="235" t="s">
        <v>26</v>
      </c>
      <c r="F59" s="235" t="s">
        <v>26</v>
      </c>
      <c r="G59" s="50">
        <f t="shared" ref="G59:G63" si="10">((C59+D59)/2)/17277</f>
        <v>4.2194825490536554E-2</v>
      </c>
      <c r="H59" s="526"/>
      <c r="I59" s="511"/>
      <c r="J59" s="512"/>
      <c r="K59" s="235" t="s">
        <v>26</v>
      </c>
      <c r="L59" s="235" t="s">
        <v>618</v>
      </c>
      <c r="M59" s="235" t="s">
        <v>619</v>
      </c>
      <c r="N59" s="235" t="s">
        <v>26</v>
      </c>
      <c r="O59" s="250" t="s">
        <v>620</v>
      </c>
      <c r="P59" s="103" t="s">
        <v>621</v>
      </c>
      <c r="Q59" s="47"/>
      <c r="S59" s="32"/>
      <c r="T59" s="32"/>
    </row>
    <row r="60" spans="1:20" ht="27.6" x14ac:dyDescent="0.3">
      <c r="A60" s="413"/>
      <c r="B60" s="235">
        <v>2020</v>
      </c>
      <c r="C60" s="51">
        <f>4610+340</f>
        <v>4950</v>
      </c>
      <c r="D60" s="51">
        <f>5130+340</f>
        <v>5470</v>
      </c>
      <c r="E60" s="235" t="s">
        <v>26</v>
      </c>
      <c r="F60" s="235" t="s">
        <v>26</v>
      </c>
      <c r="G60" s="50">
        <f t="shared" si="10"/>
        <v>0.30155698327255892</v>
      </c>
      <c r="H60" s="526"/>
      <c r="I60" s="511"/>
      <c r="J60" s="512"/>
      <c r="K60" s="235" t="s">
        <v>26</v>
      </c>
      <c r="L60" s="235" t="s">
        <v>618</v>
      </c>
      <c r="M60" s="235" t="s">
        <v>619</v>
      </c>
      <c r="N60" s="235" t="s">
        <v>26</v>
      </c>
      <c r="O60" s="250" t="s">
        <v>620</v>
      </c>
      <c r="P60" s="103" t="s">
        <v>621</v>
      </c>
      <c r="Q60" s="47"/>
      <c r="S60" s="32"/>
      <c r="T60" s="32"/>
    </row>
    <row r="61" spans="1:20" ht="27.6" x14ac:dyDescent="0.3">
      <c r="A61" s="413"/>
      <c r="B61" s="235">
        <v>2021</v>
      </c>
      <c r="C61" s="51">
        <f>5132+340</f>
        <v>5472</v>
      </c>
      <c r="D61" s="51">
        <f>6132+340</f>
        <v>6472</v>
      </c>
      <c r="E61" s="235" t="s">
        <v>26</v>
      </c>
      <c r="F61" s="235" t="s">
        <v>26</v>
      </c>
      <c r="G61" s="50">
        <f t="shared" si="10"/>
        <v>0.34566186259188514</v>
      </c>
      <c r="H61" s="526"/>
      <c r="I61" s="511"/>
      <c r="J61" s="512"/>
      <c r="K61" s="235" t="s">
        <v>26</v>
      </c>
      <c r="L61" s="235" t="s">
        <v>618</v>
      </c>
      <c r="M61" s="235" t="s">
        <v>619</v>
      </c>
      <c r="N61" s="235" t="s">
        <v>26</v>
      </c>
      <c r="O61" s="250" t="s">
        <v>620</v>
      </c>
      <c r="P61" s="103" t="s">
        <v>621</v>
      </c>
      <c r="Q61" s="47"/>
      <c r="S61" s="32"/>
      <c r="T61" s="32"/>
    </row>
    <row r="62" spans="1:20" ht="27.6" x14ac:dyDescent="0.3">
      <c r="A62" s="413"/>
      <c r="B62" s="235">
        <v>2022</v>
      </c>
      <c r="C62" s="51">
        <f>7190+340</f>
        <v>7530</v>
      </c>
      <c r="D62" s="51">
        <f>8390+340</f>
        <v>8730</v>
      </c>
      <c r="E62" s="235" t="s">
        <v>26</v>
      </c>
      <c r="F62" s="235" t="s">
        <v>26</v>
      </c>
      <c r="G62" s="50">
        <f t="shared" si="10"/>
        <v>0.47056780691092204</v>
      </c>
      <c r="H62" s="526"/>
      <c r="I62" s="511"/>
      <c r="J62" s="512"/>
      <c r="K62" s="235" t="s">
        <v>26</v>
      </c>
      <c r="L62" s="235" t="s">
        <v>618</v>
      </c>
      <c r="M62" s="235" t="s">
        <v>619</v>
      </c>
      <c r="N62" s="235" t="s">
        <v>26</v>
      </c>
      <c r="O62" s="250" t="s">
        <v>620</v>
      </c>
      <c r="P62" s="103" t="s">
        <v>621</v>
      </c>
      <c r="Q62" s="47"/>
      <c r="S62" s="32"/>
      <c r="T62" s="32"/>
    </row>
    <row r="63" spans="1:20" ht="27.6" x14ac:dyDescent="0.3">
      <c r="A63" s="413"/>
      <c r="B63" s="250" t="s">
        <v>623</v>
      </c>
      <c r="C63" s="51">
        <f>SUM(C60:C62)</f>
        <v>17952</v>
      </c>
      <c r="D63" s="51">
        <f>SUM(D60:D62)</f>
        <v>20672</v>
      </c>
      <c r="E63" s="235" t="s">
        <v>26</v>
      </c>
      <c r="F63" s="235" t="s">
        <v>26</v>
      </c>
      <c r="G63" s="50">
        <f t="shared" si="10"/>
        <v>1.1177866527753662</v>
      </c>
      <c r="H63" s="527"/>
      <c r="I63" s="513"/>
      <c r="J63" s="514"/>
      <c r="K63" s="235" t="s">
        <v>26</v>
      </c>
      <c r="L63" s="235" t="s">
        <v>618</v>
      </c>
      <c r="M63" s="235" t="s">
        <v>619</v>
      </c>
      <c r="N63" s="235" t="s">
        <v>26</v>
      </c>
      <c r="O63" s="250" t="s">
        <v>620</v>
      </c>
      <c r="P63" s="103" t="s">
        <v>621</v>
      </c>
      <c r="Q63" s="47"/>
      <c r="S63" s="32"/>
      <c r="T63" s="32"/>
    </row>
    <row r="64" spans="1:20" ht="27.6" x14ac:dyDescent="0.3">
      <c r="A64" s="413" t="s">
        <v>669</v>
      </c>
      <c r="B64" s="234" t="s">
        <v>616</v>
      </c>
      <c r="C64" s="241" t="s">
        <v>26</v>
      </c>
      <c r="D64" s="241" t="s">
        <v>26</v>
      </c>
      <c r="E64" s="234" t="s">
        <v>26</v>
      </c>
      <c r="F64" s="234" t="s">
        <v>26</v>
      </c>
      <c r="G64" s="49" t="s">
        <v>26</v>
      </c>
      <c r="H64" s="515" t="s">
        <v>664</v>
      </c>
      <c r="I64" s="234" t="s">
        <v>26</v>
      </c>
      <c r="J64" s="234" t="s">
        <v>26</v>
      </c>
      <c r="K64" s="234" t="s">
        <v>634</v>
      </c>
      <c r="L64" s="234" t="s">
        <v>618</v>
      </c>
      <c r="M64" s="234" t="s">
        <v>619</v>
      </c>
      <c r="N64" s="234" t="s">
        <v>26</v>
      </c>
      <c r="O64" s="249" t="s">
        <v>620</v>
      </c>
      <c r="P64" s="107" t="s">
        <v>621</v>
      </c>
      <c r="Q64" s="48"/>
    </row>
    <row r="65" spans="1:20" ht="27.6" x14ac:dyDescent="0.3">
      <c r="A65" s="413"/>
      <c r="B65" s="234" t="s">
        <v>622</v>
      </c>
      <c r="C65" s="520" t="s">
        <v>26</v>
      </c>
      <c r="D65" s="521"/>
      <c r="E65" s="234" t="s">
        <v>26</v>
      </c>
      <c r="F65" s="234" t="s">
        <v>26</v>
      </c>
      <c r="G65" s="49" t="s">
        <v>26</v>
      </c>
      <c r="H65" s="516"/>
      <c r="I65" s="234" t="s">
        <v>26</v>
      </c>
      <c r="J65" s="234" t="s">
        <v>26</v>
      </c>
      <c r="K65" s="234" t="s">
        <v>634</v>
      </c>
      <c r="L65" s="234" t="s">
        <v>618</v>
      </c>
      <c r="M65" s="234" t="s">
        <v>619</v>
      </c>
      <c r="N65" s="234" t="s">
        <v>26</v>
      </c>
      <c r="O65" s="249" t="s">
        <v>620</v>
      </c>
      <c r="P65" s="107" t="s">
        <v>621</v>
      </c>
      <c r="Q65" s="48"/>
    </row>
    <row r="66" spans="1:20" ht="27.6" x14ac:dyDescent="0.3">
      <c r="A66" s="413"/>
      <c r="B66" s="234">
        <v>2020</v>
      </c>
      <c r="C66" s="241">
        <v>200</v>
      </c>
      <c r="D66" s="241">
        <v>300</v>
      </c>
      <c r="E66" s="234" t="s">
        <v>26</v>
      </c>
      <c r="F66" s="234" t="s">
        <v>26</v>
      </c>
      <c r="G66" s="49">
        <f t="shared" ref="G66:G69" si="11">((C66+D66)/2)/17277</f>
        <v>1.4470104763558488E-2</v>
      </c>
      <c r="H66" s="516"/>
      <c r="I66" s="234">
        <v>0</v>
      </c>
      <c r="J66" s="234">
        <v>0</v>
      </c>
      <c r="K66" s="234" t="s">
        <v>634</v>
      </c>
      <c r="L66" s="234" t="s">
        <v>618</v>
      </c>
      <c r="M66" s="234" t="s">
        <v>619</v>
      </c>
      <c r="N66" s="234" t="s">
        <v>26</v>
      </c>
      <c r="O66" s="249" t="s">
        <v>620</v>
      </c>
      <c r="P66" s="107" t="s">
        <v>621</v>
      </c>
      <c r="Q66" s="48"/>
      <c r="T66" s="67"/>
    </row>
    <row r="67" spans="1:20" ht="27.6" x14ac:dyDescent="0.3">
      <c r="A67" s="413"/>
      <c r="B67" s="234">
        <v>2021</v>
      </c>
      <c r="C67" s="241">
        <v>200</v>
      </c>
      <c r="D67" s="241">
        <v>300</v>
      </c>
      <c r="E67" s="234" t="s">
        <v>26</v>
      </c>
      <c r="F67" s="234" t="s">
        <v>26</v>
      </c>
      <c r="G67" s="49">
        <f t="shared" si="11"/>
        <v>1.4470104763558488E-2</v>
      </c>
      <c r="H67" s="516"/>
      <c r="I67" s="234">
        <v>0</v>
      </c>
      <c r="J67" s="234">
        <v>0</v>
      </c>
      <c r="K67" s="234" t="s">
        <v>634</v>
      </c>
      <c r="L67" s="234" t="s">
        <v>618</v>
      </c>
      <c r="M67" s="234" t="s">
        <v>619</v>
      </c>
      <c r="N67" s="234" t="s">
        <v>26</v>
      </c>
      <c r="O67" s="249" t="s">
        <v>620</v>
      </c>
      <c r="P67" s="107" t="s">
        <v>621</v>
      </c>
      <c r="Q67" s="48"/>
      <c r="T67" s="67"/>
    </row>
    <row r="68" spans="1:20" ht="27.6" x14ac:dyDescent="0.3">
      <c r="A68" s="413"/>
      <c r="B68" s="234">
        <v>2022</v>
      </c>
      <c r="C68" s="241">
        <v>200</v>
      </c>
      <c r="D68" s="241">
        <v>300</v>
      </c>
      <c r="E68" s="234" t="s">
        <v>26</v>
      </c>
      <c r="F68" s="234" t="s">
        <v>26</v>
      </c>
      <c r="G68" s="49">
        <f t="shared" si="11"/>
        <v>1.4470104763558488E-2</v>
      </c>
      <c r="H68" s="516"/>
      <c r="I68" s="234">
        <v>0</v>
      </c>
      <c r="J68" s="234">
        <v>0</v>
      </c>
      <c r="K68" s="234" t="s">
        <v>634</v>
      </c>
      <c r="L68" s="234" t="s">
        <v>618</v>
      </c>
      <c r="M68" s="234" t="s">
        <v>619</v>
      </c>
      <c r="N68" s="234" t="s">
        <v>26</v>
      </c>
      <c r="O68" s="249" t="s">
        <v>620</v>
      </c>
      <c r="P68" s="107" t="s">
        <v>621</v>
      </c>
      <c r="Q68" s="48"/>
      <c r="T68" s="67"/>
    </row>
    <row r="69" spans="1:20" ht="27.6" x14ac:dyDescent="0.3">
      <c r="A69" s="413"/>
      <c r="B69" s="249" t="s">
        <v>623</v>
      </c>
      <c r="C69" s="241">
        <f>SUM(C66:C68)</f>
        <v>600</v>
      </c>
      <c r="D69" s="241">
        <f>SUM(D66:D68)</f>
        <v>900</v>
      </c>
      <c r="E69" s="234" t="s">
        <v>26</v>
      </c>
      <c r="F69" s="234" t="s">
        <v>26</v>
      </c>
      <c r="G69" s="49">
        <f t="shared" si="11"/>
        <v>4.3410314290675461E-2</v>
      </c>
      <c r="H69" s="517"/>
      <c r="I69" s="234">
        <v>0</v>
      </c>
      <c r="J69" s="234">
        <v>0</v>
      </c>
      <c r="K69" s="234" t="s">
        <v>634</v>
      </c>
      <c r="L69" s="234" t="s">
        <v>618</v>
      </c>
      <c r="M69" s="234" t="s">
        <v>619</v>
      </c>
      <c r="N69" s="234" t="s">
        <v>26</v>
      </c>
      <c r="O69" s="249" t="s">
        <v>620</v>
      </c>
      <c r="P69" s="107" t="s">
        <v>621</v>
      </c>
      <c r="Q69" s="48"/>
    </row>
    <row r="70" spans="1:20" ht="27.6" x14ac:dyDescent="0.3">
      <c r="A70" s="413" t="s">
        <v>670</v>
      </c>
      <c r="B70" s="235" t="s">
        <v>616</v>
      </c>
      <c r="C70" s="51" t="s">
        <v>26</v>
      </c>
      <c r="D70" s="51" t="s">
        <v>26</v>
      </c>
      <c r="E70" s="235" t="s">
        <v>26</v>
      </c>
      <c r="F70" s="235" t="s">
        <v>26</v>
      </c>
      <c r="G70" s="50" t="s">
        <v>26</v>
      </c>
      <c r="H70" s="525" t="s">
        <v>664</v>
      </c>
      <c r="I70" s="235" t="s">
        <v>26</v>
      </c>
      <c r="J70" s="235" t="s">
        <v>26</v>
      </c>
      <c r="K70" s="235" t="s">
        <v>634</v>
      </c>
      <c r="L70" s="235" t="s">
        <v>618</v>
      </c>
      <c r="M70" s="235" t="s">
        <v>619</v>
      </c>
      <c r="N70" s="235" t="s">
        <v>26</v>
      </c>
      <c r="O70" s="250" t="s">
        <v>620</v>
      </c>
      <c r="P70" s="103" t="s">
        <v>621</v>
      </c>
      <c r="Q70" s="47"/>
    </row>
    <row r="71" spans="1:20" ht="27.6" x14ac:dyDescent="0.3">
      <c r="A71" s="413"/>
      <c r="B71" s="235" t="s">
        <v>622</v>
      </c>
      <c r="C71" s="505" t="s">
        <v>26</v>
      </c>
      <c r="D71" s="506"/>
      <c r="E71" s="235" t="s">
        <v>26</v>
      </c>
      <c r="F71" s="235" t="s">
        <v>26</v>
      </c>
      <c r="G71" s="50" t="s">
        <v>26</v>
      </c>
      <c r="H71" s="526"/>
      <c r="I71" s="235" t="s">
        <v>26</v>
      </c>
      <c r="J71" s="235" t="s">
        <v>26</v>
      </c>
      <c r="K71" s="235" t="s">
        <v>634</v>
      </c>
      <c r="L71" s="235" t="s">
        <v>618</v>
      </c>
      <c r="M71" s="235" t="s">
        <v>619</v>
      </c>
      <c r="N71" s="235" t="s">
        <v>26</v>
      </c>
      <c r="O71" s="250" t="s">
        <v>620</v>
      </c>
      <c r="P71" s="103" t="s">
        <v>621</v>
      </c>
      <c r="Q71" s="47"/>
    </row>
    <row r="72" spans="1:20" ht="27.6" x14ac:dyDescent="0.3">
      <c r="A72" s="413"/>
      <c r="B72" s="235">
        <v>2020</v>
      </c>
      <c r="C72" s="51">
        <v>7600</v>
      </c>
      <c r="D72" s="51">
        <v>9200</v>
      </c>
      <c r="E72" s="235" t="s">
        <v>26</v>
      </c>
      <c r="F72" s="235" t="s">
        <v>26</v>
      </c>
      <c r="G72" s="50">
        <f t="shared" ref="G72:G75" si="12">((C72+D72)/2)/17277</f>
        <v>0.48619552005556521</v>
      </c>
      <c r="H72" s="526"/>
      <c r="I72" s="235">
        <v>0</v>
      </c>
      <c r="J72" s="235">
        <v>0</v>
      </c>
      <c r="K72" s="235" t="s">
        <v>634</v>
      </c>
      <c r="L72" s="235" t="s">
        <v>618</v>
      </c>
      <c r="M72" s="235" t="s">
        <v>619</v>
      </c>
      <c r="N72" s="235" t="s">
        <v>26</v>
      </c>
      <c r="O72" s="250" t="s">
        <v>620</v>
      </c>
      <c r="P72" s="103" t="s">
        <v>621</v>
      </c>
      <c r="Q72" s="47"/>
    </row>
    <row r="73" spans="1:20" ht="27.6" x14ac:dyDescent="0.3">
      <c r="A73" s="413"/>
      <c r="B73" s="235">
        <v>2021</v>
      </c>
      <c r="C73" s="51">
        <v>7600</v>
      </c>
      <c r="D73" s="51">
        <v>9200</v>
      </c>
      <c r="E73" s="235" t="s">
        <v>26</v>
      </c>
      <c r="F73" s="235" t="s">
        <v>26</v>
      </c>
      <c r="G73" s="50">
        <f t="shared" si="12"/>
        <v>0.48619552005556521</v>
      </c>
      <c r="H73" s="526"/>
      <c r="I73" s="235">
        <v>0</v>
      </c>
      <c r="J73" s="235">
        <v>0</v>
      </c>
      <c r="K73" s="235" t="s">
        <v>634</v>
      </c>
      <c r="L73" s="235" t="s">
        <v>618</v>
      </c>
      <c r="M73" s="235" t="s">
        <v>619</v>
      </c>
      <c r="N73" s="235" t="s">
        <v>26</v>
      </c>
      <c r="O73" s="250" t="s">
        <v>620</v>
      </c>
      <c r="P73" s="103" t="s">
        <v>621</v>
      </c>
      <c r="Q73" s="47"/>
    </row>
    <row r="74" spans="1:20" ht="27.6" x14ac:dyDescent="0.3">
      <c r="A74" s="413"/>
      <c r="B74" s="235">
        <v>2022</v>
      </c>
      <c r="C74" s="51">
        <v>7600</v>
      </c>
      <c r="D74" s="51">
        <v>9200</v>
      </c>
      <c r="E74" s="235" t="s">
        <v>26</v>
      </c>
      <c r="F74" s="235" t="s">
        <v>26</v>
      </c>
      <c r="G74" s="50">
        <f t="shared" si="12"/>
        <v>0.48619552005556521</v>
      </c>
      <c r="H74" s="526"/>
      <c r="I74" s="235">
        <v>0</v>
      </c>
      <c r="J74" s="235">
        <v>0</v>
      </c>
      <c r="K74" s="235" t="s">
        <v>634</v>
      </c>
      <c r="L74" s="235" t="s">
        <v>618</v>
      </c>
      <c r="M74" s="235" t="s">
        <v>619</v>
      </c>
      <c r="N74" s="235" t="s">
        <v>26</v>
      </c>
      <c r="O74" s="250" t="s">
        <v>620</v>
      </c>
      <c r="P74" s="103" t="s">
        <v>621</v>
      </c>
      <c r="Q74" s="47"/>
    </row>
    <row r="75" spans="1:20" ht="27.6" x14ac:dyDescent="0.3">
      <c r="A75" s="413"/>
      <c r="B75" s="250" t="s">
        <v>623</v>
      </c>
      <c r="C75" s="51">
        <f>SUM(C72:C74)</f>
        <v>22800</v>
      </c>
      <c r="D75" s="51">
        <f>SUM(D72:D74)</f>
        <v>27600</v>
      </c>
      <c r="E75" s="235" t="s">
        <v>26</v>
      </c>
      <c r="F75" s="235" t="s">
        <v>26</v>
      </c>
      <c r="G75" s="50">
        <f t="shared" si="12"/>
        <v>1.4585865601666956</v>
      </c>
      <c r="H75" s="527"/>
      <c r="I75" s="235">
        <v>0</v>
      </c>
      <c r="J75" s="235">
        <v>0</v>
      </c>
      <c r="K75" s="235" t="s">
        <v>634</v>
      </c>
      <c r="L75" s="235" t="s">
        <v>618</v>
      </c>
      <c r="M75" s="235" t="s">
        <v>619</v>
      </c>
      <c r="N75" s="235" t="s">
        <v>26</v>
      </c>
      <c r="O75" s="250" t="s">
        <v>620</v>
      </c>
      <c r="P75" s="103" t="s">
        <v>621</v>
      </c>
      <c r="Q75" s="47"/>
    </row>
    <row r="76" spans="1:20" ht="27.6" x14ac:dyDescent="0.3">
      <c r="A76" s="413" t="s">
        <v>671</v>
      </c>
      <c r="B76" s="234" t="s">
        <v>616</v>
      </c>
      <c r="C76" s="241">
        <v>1200</v>
      </c>
      <c r="D76" s="241">
        <v>1800</v>
      </c>
      <c r="E76" s="234">
        <v>1.2</v>
      </c>
      <c r="F76" s="234">
        <v>1.8</v>
      </c>
      <c r="G76" s="241">
        <f>((C76+D76)/2)/((E76+F76)/2)</f>
        <v>1000</v>
      </c>
      <c r="H76" s="515" t="s">
        <v>672</v>
      </c>
      <c r="I76" s="234" t="s">
        <v>26</v>
      </c>
      <c r="J76" s="234" t="s">
        <v>26</v>
      </c>
      <c r="K76" s="234" t="s">
        <v>634</v>
      </c>
      <c r="L76" s="234" t="s">
        <v>618</v>
      </c>
      <c r="M76" s="234" t="s">
        <v>26</v>
      </c>
      <c r="N76" s="66" t="s">
        <v>638</v>
      </c>
      <c r="O76" s="249" t="s">
        <v>620</v>
      </c>
      <c r="P76" s="107" t="s">
        <v>621</v>
      </c>
      <c r="Q76" s="48"/>
    </row>
    <row r="77" spans="1:20" ht="27.6" x14ac:dyDescent="0.3">
      <c r="A77" s="413"/>
      <c r="B77" s="234" t="s">
        <v>622</v>
      </c>
      <c r="C77" s="520">
        <v>4727</v>
      </c>
      <c r="D77" s="521"/>
      <c r="E77" s="522">
        <v>2.6</v>
      </c>
      <c r="F77" s="523"/>
      <c r="G77" s="68">
        <f>C77/E77</f>
        <v>1818.0769230769231</v>
      </c>
      <c r="H77" s="516"/>
      <c r="I77" s="234" t="s">
        <v>26</v>
      </c>
      <c r="J77" s="234" t="s">
        <v>26</v>
      </c>
      <c r="K77" s="234" t="s">
        <v>634</v>
      </c>
      <c r="L77" s="234" t="s">
        <v>618</v>
      </c>
      <c r="M77" s="234" t="s">
        <v>26</v>
      </c>
      <c r="N77" s="66" t="s">
        <v>638</v>
      </c>
      <c r="O77" s="249" t="s">
        <v>620</v>
      </c>
      <c r="P77" s="107" t="s">
        <v>621</v>
      </c>
      <c r="Q77" s="48"/>
    </row>
    <row r="78" spans="1:20" ht="27.6" x14ac:dyDescent="0.3">
      <c r="A78" s="413"/>
      <c r="B78" s="234">
        <v>2020</v>
      </c>
      <c r="C78" s="241">
        <f>31000*0.8</f>
        <v>24800</v>
      </c>
      <c r="D78" s="241">
        <f>31000*1.2</f>
        <v>37200</v>
      </c>
      <c r="E78" s="234">
        <v>8</v>
      </c>
      <c r="F78" s="234">
        <v>12</v>
      </c>
      <c r="G78" s="241">
        <f>((C78+D78)/2)/((E78+F78)/2)</f>
        <v>3100</v>
      </c>
      <c r="H78" s="516"/>
      <c r="I78" s="60">
        <v>4.5632934882678675E-3</v>
      </c>
      <c r="J78" s="240">
        <v>21.564239371923513</v>
      </c>
      <c r="K78" s="234" t="s">
        <v>634</v>
      </c>
      <c r="L78" s="234" t="s">
        <v>625</v>
      </c>
      <c r="M78" s="234" t="s">
        <v>26</v>
      </c>
      <c r="N78" s="66" t="s">
        <v>638</v>
      </c>
      <c r="O78" s="249" t="s">
        <v>620</v>
      </c>
      <c r="P78" s="107" t="s">
        <v>621</v>
      </c>
      <c r="Q78" s="48"/>
    </row>
    <row r="79" spans="1:20" ht="27.6" x14ac:dyDescent="0.3">
      <c r="A79" s="413"/>
      <c r="B79" s="234">
        <v>2021</v>
      </c>
      <c r="C79" s="241">
        <f>157000*0.8</f>
        <v>125600</v>
      </c>
      <c r="D79" s="241">
        <f>157000*1.2</f>
        <v>188400</v>
      </c>
      <c r="E79" s="234">
        <v>40</v>
      </c>
      <c r="F79" s="234">
        <v>60</v>
      </c>
      <c r="G79" s="241">
        <f t="shared" ref="G79:G81" si="13">((C79+D79)/2)/((E79+F79)/2)</f>
        <v>3140</v>
      </c>
      <c r="H79" s="516"/>
      <c r="I79" s="60">
        <v>2.1544243858077416E-2</v>
      </c>
      <c r="J79" s="240">
        <v>21.564239371923513</v>
      </c>
      <c r="K79" s="234" t="s">
        <v>634</v>
      </c>
      <c r="L79" s="234" t="s">
        <v>625</v>
      </c>
      <c r="M79" s="234" t="s">
        <v>26</v>
      </c>
      <c r="N79" s="66" t="s">
        <v>638</v>
      </c>
      <c r="O79" s="249" t="s">
        <v>620</v>
      </c>
      <c r="P79" s="107" t="s">
        <v>621</v>
      </c>
      <c r="Q79" s="48"/>
    </row>
    <row r="80" spans="1:20" ht="27.6" x14ac:dyDescent="0.3">
      <c r="A80" s="413"/>
      <c r="B80" s="234">
        <v>2022</v>
      </c>
      <c r="C80" s="241">
        <f>188000*0.8</f>
        <v>150400</v>
      </c>
      <c r="D80" s="241">
        <f>188000*1.2</f>
        <v>225600</v>
      </c>
      <c r="E80" s="234">
        <f>60*0.8</f>
        <v>48</v>
      </c>
      <c r="F80" s="234">
        <f>60*1.2</f>
        <v>72</v>
      </c>
      <c r="G80" s="241">
        <f t="shared" si="13"/>
        <v>3133.3333333333335</v>
      </c>
      <c r="H80" s="516"/>
      <c r="I80" s="60">
        <v>2.5722096726840081E-2</v>
      </c>
      <c r="J80" s="240">
        <v>21.564239371923513</v>
      </c>
      <c r="K80" s="234" t="s">
        <v>634</v>
      </c>
      <c r="L80" s="234" t="s">
        <v>625</v>
      </c>
      <c r="M80" s="234" t="s">
        <v>26</v>
      </c>
      <c r="N80" s="66" t="s">
        <v>638</v>
      </c>
      <c r="O80" s="249" t="s">
        <v>620</v>
      </c>
      <c r="P80" s="107" t="s">
        <v>621</v>
      </c>
      <c r="Q80" s="48"/>
    </row>
    <row r="81" spans="1:17" ht="27.6" x14ac:dyDescent="0.3">
      <c r="A81" s="413"/>
      <c r="B81" s="249" t="s">
        <v>623</v>
      </c>
      <c r="C81" s="241">
        <f>SUM(C78:C80)</f>
        <v>300800</v>
      </c>
      <c r="D81" s="241">
        <f>SUM(D78:D80)</f>
        <v>451200</v>
      </c>
      <c r="E81" s="234">
        <f>SUM(E78:E80)</f>
        <v>96</v>
      </c>
      <c r="F81" s="234">
        <f>SUM(F78:F80)</f>
        <v>144</v>
      </c>
      <c r="G81" s="241">
        <f t="shared" si="13"/>
        <v>3133.3333333333335</v>
      </c>
      <c r="H81" s="517"/>
      <c r="I81" s="60">
        <v>5.1799999999999999E-2</v>
      </c>
      <c r="J81" s="240">
        <v>21.564239371923513</v>
      </c>
      <c r="K81" s="234" t="s">
        <v>634</v>
      </c>
      <c r="L81" s="234" t="s">
        <v>625</v>
      </c>
      <c r="M81" s="234" t="s">
        <v>26</v>
      </c>
      <c r="N81" s="66" t="s">
        <v>638</v>
      </c>
      <c r="O81" s="249" t="s">
        <v>620</v>
      </c>
      <c r="P81" s="107" t="s">
        <v>621</v>
      </c>
      <c r="Q81" s="48"/>
    </row>
    <row r="82" spans="1:17" s="69" customFormat="1" ht="27.6" x14ac:dyDescent="0.3">
      <c r="A82" s="413" t="s">
        <v>673</v>
      </c>
      <c r="B82" s="235" t="s">
        <v>616</v>
      </c>
      <c r="C82" s="51" t="s">
        <v>674</v>
      </c>
      <c r="D82" s="51" t="s">
        <v>674</v>
      </c>
      <c r="E82" s="235">
        <v>6</v>
      </c>
      <c r="F82" s="235">
        <v>8</v>
      </c>
      <c r="G82" s="235" t="s">
        <v>26</v>
      </c>
      <c r="H82" s="525" t="s">
        <v>656</v>
      </c>
      <c r="I82" s="235" t="s">
        <v>26</v>
      </c>
      <c r="J82" s="235" t="s">
        <v>26</v>
      </c>
      <c r="K82" s="235" t="s">
        <v>634</v>
      </c>
      <c r="L82" s="235" t="s">
        <v>618</v>
      </c>
      <c r="M82" s="235" t="s">
        <v>675</v>
      </c>
      <c r="N82" s="235" t="s">
        <v>26</v>
      </c>
      <c r="O82" s="250" t="s">
        <v>620</v>
      </c>
      <c r="P82" s="103" t="s">
        <v>676</v>
      </c>
      <c r="Q82" s="47"/>
    </row>
    <row r="83" spans="1:17" s="69" customFormat="1" ht="27.6" x14ac:dyDescent="0.3">
      <c r="A83" s="413"/>
      <c r="B83" s="235" t="s">
        <v>622</v>
      </c>
      <c r="C83" s="507" t="s">
        <v>674</v>
      </c>
      <c r="D83" s="508"/>
      <c r="E83" s="507">
        <v>7</v>
      </c>
      <c r="F83" s="508"/>
      <c r="G83" s="235" t="s">
        <v>26</v>
      </c>
      <c r="H83" s="526"/>
      <c r="I83" s="235" t="s">
        <v>26</v>
      </c>
      <c r="J83" s="235" t="s">
        <v>26</v>
      </c>
      <c r="K83" s="235" t="s">
        <v>634</v>
      </c>
      <c r="L83" s="235" t="s">
        <v>618</v>
      </c>
      <c r="M83" s="235" t="s">
        <v>675</v>
      </c>
      <c r="N83" s="235" t="s">
        <v>26</v>
      </c>
      <c r="O83" s="250" t="s">
        <v>620</v>
      </c>
      <c r="P83" s="103" t="s">
        <v>676</v>
      </c>
      <c r="Q83" s="47"/>
    </row>
    <row r="84" spans="1:17" s="69" customFormat="1" ht="27.6" x14ac:dyDescent="0.3">
      <c r="A84" s="413"/>
      <c r="B84" s="235">
        <v>2020</v>
      </c>
      <c r="C84" s="51" t="s">
        <v>674</v>
      </c>
      <c r="D84" s="51" t="s">
        <v>674</v>
      </c>
      <c r="E84" s="62">
        <v>17.100000000000001</v>
      </c>
      <c r="F84" s="62">
        <v>21.4</v>
      </c>
      <c r="G84" s="51" t="s">
        <v>26</v>
      </c>
      <c r="H84" s="526"/>
      <c r="I84" s="235" t="s">
        <v>677</v>
      </c>
      <c r="J84" s="235" t="s">
        <v>677</v>
      </c>
      <c r="K84" s="235" t="s">
        <v>634</v>
      </c>
      <c r="L84" s="235" t="s">
        <v>618</v>
      </c>
      <c r="M84" s="235" t="s">
        <v>675</v>
      </c>
      <c r="N84" s="235" t="s">
        <v>26</v>
      </c>
      <c r="O84" s="250" t="s">
        <v>620</v>
      </c>
      <c r="P84" s="103" t="s">
        <v>676</v>
      </c>
      <c r="Q84" s="47"/>
    </row>
    <row r="85" spans="1:17" s="69" customFormat="1" ht="27.6" x14ac:dyDescent="0.3">
      <c r="A85" s="413"/>
      <c r="B85" s="235">
        <v>2021</v>
      </c>
      <c r="C85" s="51" t="s">
        <v>674</v>
      </c>
      <c r="D85" s="51" t="s">
        <v>674</v>
      </c>
      <c r="E85" s="62">
        <f>25.2-4</f>
        <v>21.2</v>
      </c>
      <c r="F85" s="62">
        <f>31.6-4</f>
        <v>27.6</v>
      </c>
      <c r="G85" s="51" t="s">
        <v>26</v>
      </c>
      <c r="H85" s="526"/>
      <c r="I85" s="235" t="s">
        <v>677</v>
      </c>
      <c r="J85" s="235" t="s">
        <v>677</v>
      </c>
      <c r="K85" s="235" t="s">
        <v>634</v>
      </c>
      <c r="L85" s="235" t="s">
        <v>618</v>
      </c>
      <c r="M85" s="235" t="s">
        <v>675</v>
      </c>
      <c r="N85" s="235" t="s">
        <v>26</v>
      </c>
      <c r="O85" s="250" t="s">
        <v>620</v>
      </c>
      <c r="P85" s="103" t="s">
        <v>676</v>
      </c>
      <c r="Q85" s="47"/>
    </row>
    <row r="86" spans="1:17" s="69" customFormat="1" ht="27.6" x14ac:dyDescent="0.3">
      <c r="A86" s="413"/>
      <c r="B86" s="235">
        <v>2022</v>
      </c>
      <c r="C86" s="51" t="s">
        <v>674</v>
      </c>
      <c r="D86" s="51" t="s">
        <v>674</v>
      </c>
      <c r="E86" s="62">
        <v>16.399999999999999</v>
      </c>
      <c r="F86" s="62">
        <v>20.5</v>
      </c>
      <c r="G86" s="51" t="s">
        <v>26</v>
      </c>
      <c r="H86" s="526"/>
      <c r="I86" s="235" t="s">
        <v>677</v>
      </c>
      <c r="J86" s="235" t="s">
        <v>677</v>
      </c>
      <c r="K86" s="235" t="s">
        <v>634</v>
      </c>
      <c r="L86" s="235" t="s">
        <v>618</v>
      </c>
      <c r="M86" s="235" t="s">
        <v>675</v>
      </c>
      <c r="N86" s="235" t="s">
        <v>26</v>
      </c>
      <c r="O86" s="250" t="s">
        <v>620</v>
      </c>
      <c r="P86" s="103" t="s">
        <v>676</v>
      </c>
      <c r="Q86" s="47"/>
    </row>
    <row r="87" spans="1:17" s="69" customFormat="1" ht="27.6" x14ac:dyDescent="0.3">
      <c r="A87" s="413"/>
      <c r="B87" s="250" t="s">
        <v>623</v>
      </c>
      <c r="C87" s="51" t="s">
        <v>674</v>
      </c>
      <c r="D87" s="51" t="s">
        <v>674</v>
      </c>
      <c r="E87" s="62">
        <f t="shared" ref="E87:F87" si="14">SUM(E84:E86)</f>
        <v>54.699999999999996</v>
      </c>
      <c r="F87" s="62">
        <f t="shared" si="14"/>
        <v>69.5</v>
      </c>
      <c r="G87" s="51" t="s">
        <v>26</v>
      </c>
      <c r="H87" s="527"/>
      <c r="I87" s="235" t="s">
        <v>677</v>
      </c>
      <c r="J87" s="235" t="s">
        <v>677</v>
      </c>
      <c r="K87" s="235" t="s">
        <v>634</v>
      </c>
      <c r="L87" s="235" t="s">
        <v>618</v>
      </c>
      <c r="M87" s="235" t="s">
        <v>675</v>
      </c>
      <c r="N87" s="235" t="s">
        <v>26</v>
      </c>
      <c r="O87" s="250" t="s">
        <v>620</v>
      </c>
      <c r="P87" s="103" t="s">
        <v>676</v>
      </c>
      <c r="Q87" s="47"/>
    </row>
    <row r="88" spans="1:17" ht="27.6" x14ac:dyDescent="0.3">
      <c r="A88" s="413" t="s">
        <v>678</v>
      </c>
      <c r="B88" s="234" t="s">
        <v>616</v>
      </c>
      <c r="C88" s="241" t="s">
        <v>674</v>
      </c>
      <c r="D88" s="241" t="s">
        <v>674</v>
      </c>
      <c r="E88" s="234">
        <v>2</v>
      </c>
      <c r="F88" s="234">
        <v>4</v>
      </c>
      <c r="G88" s="234" t="s">
        <v>26</v>
      </c>
      <c r="H88" s="515" t="s">
        <v>672</v>
      </c>
      <c r="I88" s="234" t="s">
        <v>26</v>
      </c>
      <c r="J88" s="234" t="s">
        <v>26</v>
      </c>
      <c r="K88" s="234" t="s">
        <v>634</v>
      </c>
      <c r="L88" s="234" t="s">
        <v>618</v>
      </c>
      <c r="M88" s="234" t="s">
        <v>675</v>
      </c>
      <c r="N88" s="234" t="s">
        <v>26</v>
      </c>
      <c r="O88" s="249" t="s">
        <v>620</v>
      </c>
      <c r="P88" s="107" t="s">
        <v>676</v>
      </c>
      <c r="Q88" s="48"/>
    </row>
    <row r="89" spans="1:17" ht="27.6" x14ac:dyDescent="0.3">
      <c r="A89" s="413"/>
      <c r="B89" s="234" t="s">
        <v>622</v>
      </c>
      <c r="C89" s="522" t="s">
        <v>674</v>
      </c>
      <c r="D89" s="523"/>
      <c r="E89" s="522">
        <v>3</v>
      </c>
      <c r="F89" s="523"/>
      <c r="G89" s="234" t="s">
        <v>26</v>
      </c>
      <c r="H89" s="516"/>
      <c r="I89" s="234" t="s">
        <v>26</v>
      </c>
      <c r="J89" s="234" t="s">
        <v>26</v>
      </c>
      <c r="K89" s="234" t="s">
        <v>634</v>
      </c>
      <c r="L89" s="234" t="s">
        <v>618</v>
      </c>
      <c r="M89" s="234" t="s">
        <v>675</v>
      </c>
      <c r="N89" s="234" t="s">
        <v>26</v>
      </c>
      <c r="O89" s="249" t="s">
        <v>620</v>
      </c>
      <c r="P89" s="107" t="s">
        <v>676</v>
      </c>
      <c r="Q89" s="48"/>
    </row>
    <row r="90" spans="1:17" ht="27.6" x14ac:dyDescent="0.3">
      <c r="A90" s="413"/>
      <c r="B90" s="234">
        <v>2020</v>
      </c>
      <c r="C90" s="241" t="s">
        <v>674</v>
      </c>
      <c r="D90" s="241" t="s">
        <v>674</v>
      </c>
      <c r="E90" s="240">
        <v>0</v>
      </c>
      <c r="F90" s="240">
        <v>0</v>
      </c>
      <c r="G90" s="241" t="s">
        <v>26</v>
      </c>
      <c r="H90" s="516"/>
      <c r="I90" s="234" t="s">
        <v>677</v>
      </c>
      <c r="J90" s="234" t="s">
        <v>677</v>
      </c>
      <c r="K90" s="234" t="s">
        <v>634</v>
      </c>
      <c r="L90" s="234" t="s">
        <v>618</v>
      </c>
      <c r="M90" s="234" t="s">
        <v>675</v>
      </c>
      <c r="N90" s="234" t="s">
        <v>26</v>
      </c>
      <c r="O90" s="249" t="s">
        <v>620</v>
      </c>
      <c r="P90" s="107" t="s">
        <v>676</v>
      </c>
      <c r="Q90" s="48"/>
    </row>
    <row r="91" spans="1:17" ht="27.6" x14ac:dyDescent="0.3">
      <c r="A91" s="413"/>
      <c r="B91" s="234">
        <v>2021</v>
      </c>
      <c r="C91" s="241" t="s">
        <v>674</v>
      </c>
      <c r="D91" s="241" t="s">
        <v>674</v>
      </c>
      <c r="E91" s="240">
        <v>4.8</v>
      </c>
      <c r="F91" s="240">
        <v>7.2</v>
      </c>
      <c r="G91" s="241" t="s">
        <v>26</v>
      </c>
      <c r="H91" s="516"/>
      <c r="I91" s="234" t="s">
        <v>677</v>
      </c>
      <c r="J91" s="234" t="s">
        <v>677</v>
      </c>
      <c r="K91" s="234" t="s">
        <v>634</v>
      </c>
      <c r="L91" s="234" t="s">
        <v>618</v>
      </c>
      <c r="M91" s="234" t="s">
        <v>675</v>
      </c>
      <c r="N91" s="234" t="s">
        <v>26</v>
      </c>
      <c r="O91" s="249" t="s">
        <v>620</v>
      </c>
      <c r="P91" s="107" t="s">
        <v>676</v>
      </c>
      <c r="Q91" s="48"/>
    </row>
    <row r="92" spans="1:17" ht="27.6" x14ac:dyDescent="0.3">
      <c r="A92" s="413"/>
      <c r="B92" s="234">
        <v>2022</v>
      </c>
      <c r="C92" s="241" t="s">
        <v>674</v>
      </c>
      <c r="D92" s="241" t="s">
        <v>674</v>
      </c>
      <c r="E92" s="240"/>
      <c r="F92" s="240"/>
      <c r="G92" s="241" t="s">
        <v>26</v>
      </c>
      <c r="H92" s="516"/>
      <c r="I92" s="234" t="s">
        <v>677</v>
      </c>
      <c r="J92" s="234" t="s">
        <v>677</v>
      </c>
      <c r="K92" s="234" t="s">
        <v>634</v>
      </c>
      <c r="L92" s="234" t="s">
        <v>618</v>
      </c>
      <c r="M92" s="234" t="s">
        <v>675</v>
      </c>
      <c r="N92" s="234" t="s">
        <v>26</v>
      </c>
      <c r="O92" s="249" t="s">
        <v>620</v>
      </c>
      <c r="P92" s="107" t="s">
        <v>676</v>
      </c>
      <c r="Q92" s="48"/>
    </row>
    <row r="93" spans="1:17" ht="27.6" x14ac:dyDescent="0.3">
      <c r="A93" s="413"/>
      <c r="B93" s="249" t="s">
        <v>623</v>
      </c>
      <c r="C93" s="241" t="s">
        <v>674</v>
      </c>
      <c r="D93" s="241" t="s">
        <v>674</v>
      </c>
      <c r="E93" s="240">
        <f>SUM(E90:E92)</f>
        <v>4.8</v>
      </c>
      <c r="F93" s="240">
        <f>SUM(F90:F92)</f>
        <v>7.2</v>
      </c>
      <c r="G93" s="241" t="s">
        <v>26</v>
      </c>
      <c r="H93" s="517"/>
      <c r="I93" s="234" t="s">
        <v>677</v>
      </c>
      <c r="J93" s="234" t="s">
        <v>677</v>
      </c>
      <c r="K93" s="234" t="s">
        <v>634</v>
      </c>
      <c r="L93" s="234" t="s">
        <v>618</v>
      </c>
      <c r="M93" s="234" t="s">
        <v>675</v>
      </c>
      <c r="N93" s="234" t="s">
        <v>26</v>
      </c>
      <c r="O93" s="249" t="s">
        <v>620</v>
      </c>
      <c r="P93" s="107" t="s">
        <v>676</v>
      </c>
      <c r="Q93" s="48"/>
    </row>
    <row r="94" spans="1:17" ht="27.6" x14ac:dyDescent="0.3">
      <c r="A94" s="413" t="s">
        <v>679</v>
      </c>
      <c r="B94" s="235" t="s">
        <v>616</v>
      </c>
      <c r="C94" s="51">
        <v>4400</v>
      </c>
      <c r="D94" s="51">
        <v>6600</v>
      </c>
      <c r="E94" s="235">
        <v>8</v>
      </c>
      <c r="F94" s="235">
        <v>12</v>
      </c>
      <c r="G94" s="235" t="s">
        <v>26</v>
      </c>
      <c r="H94" s="525" t="s">
        <v>656</v>
      </c>
      <c r="I94" s="235" t="s">
        <v>26</v>
      </c>
      <c r="J94" s="235" t="s">
        <v>26</v>
      </c>
      <c r="K94" s="235" t="s">
        <v>634</v>
      </c>
      <c r="L94" s="235" t="s">
        <v>618</v>
      </c>
      <c r="M94" s="235" t="s">
        <v>619</v>
      </c>
      <c r="N94" s="235" t="s">
        <v>26</v>
      </c>
      <c r="O94" s="250" t="s">
        <v>620</v>
      </c>
      <c r="P94" s="103" t="s">
        <v>676</v>
      </c>
      <c r="Q94" s="47"/>
    </row>
    <row r="95" spans="1:17" ht="27.6" x14ac:dyDescent="0.3">
      <c r="A95" s="413"/>
      <c r="B95" s="235" t="s">
        <v>622</v>
      </c>
      <c r="C95" s="531">
        <v>2964</v>
      </c>
      <c r="D95" s="532"/>
      <c r="E95" s="507">
        <v>10</v>
      </c>
      <c r="F95" s="508"/>
      <c r="G95" s="235" t="s">
        <v>26</v>
      </c>
      <c r="H95" s="526"/>
      <c r="I95" s="235" t="s">
        <v>26</v>
      </c>
      <c r="J95" s="235" t="s">
        <v>26</v>
      </c>
      <c r="K95" s="235" t="s">
        <v>634</v>
      </c>
      <c r="L95" s="235" t="s">
        <v>618</v>
      </c>
      <c r="M95" s="235" t="s">
        <v>619</v>
      </c>
      <c r="N95" s="235" t="s">
        <v>26</v>
      </c>
      <c r="O95" s="250" t="s">
        <v>620</v>
      </c>
      <c r="P95" s="103" t="s">
        <v>676</v>
      </c>
      <c r="Q95" s="47"/>
    </row>
    <row r="96" spans="1:17" ht="27.6" x14ac:dyDescent="0.3">
      <c r="A96" s="413"/>
      <c r="B96" s="235">
        <v>2020</v>
      </c>
      <c r="C96" s="51">
        <v>5219</v>
      </c>
      <c r="D96" s="51">
        <v>6523</v>
      </c>
      <c r="E96" s="62">
        <v>10.9</v>
      </c>
      <c r="F96" s="62">
        <v>13.6</v>
      </c>
      <c r="G96" s="51">
        <f>((C96+D96)/2)/((E96+F96)/2)</f>
        <v>479.26530612244898</v>
      </c>
      <c r="H96" s="526"/>
      <c r="I96" s="235" t="s">
        <v>677</v>
      </c>
      <c r="J96" s="235" t="s">
        <v>677</v>
      </c>
      <c r="K96" s="235" t="s">
        <v>634</v>
      </c>
      <c r="L96" s="235" t="s">
        <v>618</v>
      </c>
      <c r="M96" s="235" t="s">
        <v>619</v>
      </c>
      <c r="N96" s="235" t="s">
        <v>26</v>
      </c>
      <c r="O96" s="250" t="s">
        <v>620</v>
      </c>
      <c r="P96" s="103" t="s">
        <v>676</v>
      </c>
      <c r="Q96" s="47"/>
    </row>
    <row r="97" spans="1:17" ht="27.6" x14ac:dyDescent="0.3">
      <c r="A97" s="413"/>
      <c r="B97" s="235">
        <v>2021</v>
      </c>
      <c r="C97" s="51">
        <v>12236</v>
      </c>
      <c r="D97" s="51">
        <v>15294</v>
      </c>
      <c r="E97" s="62">
        <v>19.399999999999999</v>
      </c>
      <c r="F97" s="62">
        <v>24.2</v>
      </c>
      <c r="G97" s="51">
        <f t="shared" ref="G97:G99" si="15">((C97+D97)/2)/((E97+F97)/2)</f>
        <v>631.42201834862396</v>
      </c>
      <c r="H97" s="526"/>
      <c r="I97" s="235" t="s">
        <v>677</v>
      </c>
      <c r="J97" s="235" t="s">
        <v>677</v>
      </c>
      <c r="K97" s="235" t="s">
        <v>634</v>
      </c>
      <c r="L97" s="235" t="s">
        <v>618</v>
      </c>
      <c r="M97" s="235" t="s">
        <v>619</v>
      </c>
      <c r="N97" s="235" t="s">
        <v>26</v>
      </c>
      <c r="O97" s="250" t="s">
        <v>620</v>
      </c>
      <c r="P97" s="103" t="s">
        <v>676</v>
      </c>
      <c r="Q97" s="47"/>
    </row>
    <row r="98" spans="1:17" ht="27.6" x14ac:dyDescent="0.3">
      <c r="A98" s="413"/>
      <c r="B98" s="235">
        <v>2022</v>
      </c>
      <c r="C98" s="51">
        <v>5396</v>
      </c>
      <c r="D98" s="51">
        <v>6744</v>
      </c>
      <c r="E98" s="62">
        <v>7</v>
      </c>
      <c r="F98" s="62">
        <v>8.8000000000000007</v>
      </c>
      <c r="G98" s="51">
        <f t="shared" si="15"/>
        <v>768.35443037974676</v>
      </c>
      <c r="H98" s="526"/>
      <c r="I98" s="235" t="s">
        <v>677</v>
      </c>
      <c r="J98" s="235" t="s">
        <v>677</v>
      </c>
      <c r="K98" s="235" t="s">
        <v>634</v>
      </c>
      <c r="L98" s="235" t="s">
        <v>618</v>
      </c>
      <c r="M98" s="235" t="s">
        <v>619</v>
      </c>
      <c r="N98" s="235" t="s">
        <v>26</v>
      </c>
      <c r="O98" s="250" t="s">
        <v>620</v>
      </c>
      <c r="P98" s="103" t="s">
        <v>676</v>
      </c>
      <c r="Q98" s="47"/>
    </row>
    <row r="99" spans="1:17" ht="27.6" x14ac:dyDescent="0.3">
      <c r="A99" s="413"/>
      <c r="B99" s="250" t="s">
        <v>623</v>
      </c>
      <c r="C99" s="51">
        <f>SUM(C96:C98)</f>
        <v>22851</v>
      </c>
      <c r="D99" s="51">
        <f>SUM(D96:D98)</f>
        <v>28561</v>
      </c>
      <c r="E99" s="62">
        <f t="shared" ref="E99:F99" si="16">SUM(E96:E98)</f>
        <v>37.299999999999997</v>
      </c>
      <c r="F99" s="62">
        <f t="shared" si="16"/>
        <v>46.599999999999994</v>
      </c>
      <c r="G99" s="51">
        <f t="shared" si="15"/>
        <v>612.77711561382603</v>
      </c>
      <c r="H99" s="527"/>
      <c r="I99" s="235" t="s">
        <v>677</v>
      </c>
      <c r="J99" s="235" t="s">
        <v>677</v>
      </c>
      <c r="K99" s="235" t="s">
        <v>634</v>
      </c>
      <c r="L99" s="235" t="s">
        <v>618</v>
      </c>
      <c r="M99" s="235" t="s">
        <v>619</v>
      </c>
      <c r="N99" s="235" t="s">
        <v>26</v>
      </c>
      <c r="O99" s="250" t="s">
        <v>620</v>
      </c>
      <c r="P99" s="103" t="s">
        <v>676</v>
      </c>
      <c r="Q99" s="47"/>
    </row>
    <row r="100" spans="1:17" ht="27.6" x14ac:dyDescent="0.3">
      <c r="A100" s="413" t="s">
        <v>680</v>
      </c>
      <c r="B100" s="234" t="s">
        <v>616</v>
      </c>
      <c r="C100" s="241" t="s">
        <v>674</v>
      </c>
      <c r="D100" s="241" t="s">
        <v>674</v>
      </c>
      <c r="E100" s="234">
        <v>25</v>
      </c>
      <c r="F100" s="234">
        <v>31</v>
      </c>
      <c r="G100" s="234" t="s">
        <v>26</v>
      </c>
      <c r="H100" s="515" t="s">
        <v>656</v>
      </c>
      <c r="I100" s="234" t="s">
        <v>26</v>
      </c>
      <c r="J100" s="234" t="s">
        <v>26</v>
      </c>
      <c r="K100" s="234" t="s">
        <v>634</v>
      </c>
      <c r="L100" s="234" t="s">
        <v>618</v>
      </c>
      <c r="M100" s="234" t="s">
        <v>619</v>
      </c>
      <c r="N100" s="234" t="s">
        <v>26</v>
      </c>
      <c r="O100" s="249" t="s">
        <v>620</v>
      </c>
      <c r="P100" s="107" t="s">
        <v>621</v>
      </c>
      <c r="Q100" s="48"/>
    </row>
    <row r="101" spans="1:17" ht="27.6" x14ac:dyDescent="0.3">
      <c r="A101" s="413"/>
      <c r="B101" s="234" t="s">
        <v>622</v>
      </c>
      <c r="C101" s="522" t="s">
        <v>674</v>
      </c>
      <c r="D101" s="523"/>
      <c r="E101" s="522">
        <v>25</v>
      </c>
      <c r="F101" s="523"/>
      <c r="G101" s="234" t="s">
        <v>26</v>
      </c>
      <c r="H101" s="516"/>
      <c r="I101" s="234" t="s">
        <v>26</v>
      </c>
      <c r="J101" s="234" t="s">
        <v>26</v>
      </c>
      <c r="K101" s="234" t="s">
        <v>634</v>
      </c>
      <c r="L101" s="234" t="s">
        <v>618</v>
      </c>
      <c r="M101" s="234" t="s">
        <v>619</v>
      </c>
      <c r="N101" s="234" t="s">
        <v>26</v>
      </c>
      <c r="O101" s="249" t="s">
        <v>620</v>
      </c>
      <c r="P101" s="107" t="s">
        <v>621</v>
      </c>
      <c r="Q101" s="48"/>
    </row>
    <row r="102" spans="1:17" ht="27.6" x14ac:dyDescent="0.3">
      <c r="A102" s="413"/>
      <c r="B102" s="234">
        <v>2020</v>
      </c>
      <c r="C102" s="234" t="s">
        <v>674</v>
      </c>
      <c r="D102" s="234" t="s">
        <v>674</v>
      </c>
      <c r="E102" s="234">
        <v>23.2</v>
      </c>
      <c r="F102" s="234">
        <v>34.799999999999997</v>
      </c>
      <c r="G102" s="234" t="s">
        <v>26</v>
      </c>
      <c r="H102" s="516"/>
      <c r="I102" s="234" t="s">
        <v>677</v>
      </c>
      <c r="J102" s="234" t="s">
        <v>677</v>
      </c>
      <c r="K102" s="234" t="s">
        <v>634</v>
      </c>
      <c r="L102" s="234" t="s">
        <v>618</v>
      </c>
      <c r="M102" s="234" t="s">
        <v>619</v>
      </c>
      <c r="N102" s="234" t="s">
        <v>26</v>
      </c>
      <c r="O102" s="249" t="s">
        <v>620</v>
      </c>
      <c r="P102" s="107" t="s">
        <v>621</v>
      </c>
      <c r="Q102" s="48"/>
    </row>
    <row r="103" spans="1:17" ht="27.6" x14ac:dyDescent="0.3">
      <c r="A103" s="413"/>
      <c r="B103" s="234">
        <v>2021</v>
      </c>
      <c r="C103" s="234" t="s">
        <v>674</v>
      </c>
      <c r="D103" s="234" t="s">
        <v>674</v>
      </c>
      <c r="E103" s="234">
        <v>0</v>
      </c>
      <c r="F103" s="234">
        <v>0</v>
      </c>
      <c r="G103" s="234" t="s">
        <v>26</v>
      </c>
      <c r="H103" s="516"/>
      <c r="I103" s="234" t="s">
        <v>677</v>
      </c>
      <c r="J103" s="234" t="s">
        <v>677</v>
      </c>
      <c r="K103" s="234" t="s">
        <v>634</v>
      </c>
      <c r="L103" s="234" t="s">
        <v>618</v>
      </c>
      <c r="M103" s="234" t="s">
        <v>619</v>
      </c>
      <c r="N103" s="234" t="s">
        <v>26</v>
      </c>
      <c r="O103" s="249" t="s">
        <v>620</v>
      </c>
      <c r="P103" s="107" t="s">
        <v>621</v>
      </c>
      <c r="Q103" s="48"/>
    </row>
    <row r="104" spans="1:17" ht="27.6" x14ac:dyDescent="0.3">
      <c r="A104" s="413"/>
      <c r="B104" s="234">
        <v>2022</v>
      </c>
      <c r="C104" s="234" t="s">
        <v>674</v>
      </c>
      <c r="D104" s="234" t="s">
        <v>674</v>
      </c>
      <c r="E104" s="234">
        <v>0</v>
      </c>
      <c r="F104" s="234">
        <v>0</v>
      </c>
      <c r="G104" s="234" t="s">
        <v>26</v>
      </c>
      <c r="H104" s="516"/>
      <c r="I104" s="234" t="s">
        <v>677</v>
      </c>
      <c r="J104" s="234" t="s">
        <v>677</v>
      </c>
      <c r="K104" s="234" t="s">
        <v>634</v>
      </c>
      <c r="L104" s="234" t="s">
        <v>618</v>
      </c>
      <c r="M104" s="234" t="s">
        <v>619</v>
      </c>
      <c r="N104" s="234" t="s">
        <v>26</v>
      </c>
      <c r="O104" s="249" t="s">
        <v>620</v>
      </c>
      <c r="P104" s="107" t="s">
        <v>621</v>
      </c>
      <c r="Q104" s="48"/>
    </row>
    <row r="105" spans="1:17" ht="27.6" x14ac:dyDescent="0.3">
      <c r="A105" s="413"/>
      <c r="B105" s="249" t="s">
        <v>623</v>
      </c>
      <c r="C105" s="234" t="s">
        <v>674</v>
      </c>
      <c r="D105" s="234" t="s">
        <v>674</v>
      </c>
      <c r="E105" s="234">
        <f>E102</f>
        <v>23.2</v>
      </c>
      <c r="F105" s="234">
        <f>F102</f>
        <v>34.799999999999997</v>
      </c>
      <c r="G105" s="234" t="s">
        <v>26</v>
      </c>
      <c r="H105" s="517"/>
      <c r="I105" s="234" t="s">
        <v>677</v>
      </c>
      <c r="J105" s="234" t="s">
        <v>677</v>
      </c>
      <c r="K105" s="234" t="s">
        <v>634</v>
      </c>
      <c r="L105" s="234" t="s">
        <v>618</v>
      </c>
      <c r="M105" s="234" t="s">
        <v>619</v>
      </c>
      <c r="N105" s="234" t="s">
        <v>26</v>
      </c>
      <c r="O105" s="249" t="s">
        <v>620</v>
      </c>
      <c r="P105" s="107" t="s">
        <v>621</v>
      </c>
      <c r="Q105" s="48"/>
    </row>
    <row r="106" spans="1:17" ht="27.6" x14ac:dyDescent="0.3">
      <c r="A106" s="413" t="s">
        <v>681</v>
      </c>
      <c r="B106" s="235" t="s">
        <v>616</v>
      </c>
      <c r="C106" s="51">
        <v>47700</v>
      </c>
      <c r="D106" s="51">
        <v>58300</v>
      </c>
      <c r="E106" s="235">
        <v>20</v>
      </c>
      <c r="F106" s="235">
        <v>24</v>
      </c>
      <c r="G106" s="51">
        <f>((C106+D106)/2)/((E106+F106)/2)</f>
        <v>2409.090909090909</v>
      </c>
      <c r="H106" s="525" t="s">
        <v>656</v>
      </c>
      <c r="I106" s="235" t="s">
        <v>26</v>
      </c>
      <c r="J106" s="235" t="s">
        <v>26</v>
      </c>
      <c r="K106" s="235" t="s">
        <v>634</v>
      </c>
      <c r="L106" s="235" t="s">
        <v>618</v>
      </c>
      <c r="M106" s="235" t="s">
        <v>619</v>
      </c>
      <c r="N106" s="235" t="s">
        <v>26</v>
      </c>
      <c r="O106" s="250" t="s">
        <v>620</v>
      </c>
      <c r="P106" s="103" t="s">
        <v>621</v>
      </c>
      <c r="Q106" s="47"/>
    </row>
    <row r="107" spans="1:17" ht="27.6" x14ac:dyDescent="0.3">
      <c r="A107" s="413"/>
      <c r="B107" s="235" t="s">
        <v>622</v>
      </c>
      <c r="C107" s="505">
        <v>12793</v>
      </c>
      <c r="D107" s="506"/>
      <c r="E107" s="507">
        <v>26.4</v>
      </c>
      <c r="F107" s="508"/>
      <c r="G107" s="51">
        <f t="shared" ref="G107:G111" si="17">((C107+D107)/2)/((E107+F107)/2)</f>
        <v>484.58333333333337</v>
      </c>
      <c r="H107" s="526"/>
      <c r="I107" s="235" t="s">
        <v>26</v>
      </c>
      <c r="J107" s="235" t="s">
        <v>26</v>
      </c>
      <c r="K107" s="235" t="s">
        <v>634</v>
      </c>
      <c r="L107" s="235" t="s">
        <v>618</v>
      </c>
      <c r="M107" s="235" t="s">
        <v>619</v>
      </c>
      <c r="N107" s="235" t="s">
        <v>26</v>
      </c>
      <c r="O107" s="250" t="s">
        <v>620</v>
      </c>
      <c r="P107" s="103" t="s">
        <v>621</v>
      </c>
      <c r="Q107" s="47"/>
    </row>
    <row r="108" spans="1:17" ht="27.6" x14ac:dyDescent="0.3">
      <c r="A108" s="413"/>
      <c r="B108" s="235">
        <v>2020</v>
      </c>
      <c r="C108" s="51">
        <f>17500*0.8</f>
        <v>14000</v>
      </c>
      <c r="D108" s="51">
        <f>17500*1.2</f>
        <v>21000</v>
      </c>
      <c r="E108" s="235">
        <f>25*0.8</f>
        <v>20</v>
      </c>
      <c r="F108" s="235">
        <f>25*1.2</f>
        <v>30</v>
      </c>
      <c r="G108" s="51">
        <f>16500/25</f>
        <v>660</v>
      </c>
      <c r="H108" s="526"/>
      <c r="I108" s="235" t="s">
        <v>677</v>
      </c>
      <c r="J108" s="235" t="s">
        <v>677</v>
      </c>
      <c r="K108" s="235" t="s">
        <v>634</v>
      </c>
      <c r="L108" s="235" t="s">
        <v>618</v>
      </c>
      <c r="M108" s="235" t="s">
        <v>619</v>
      </c>
      <c r="N108" s="235" t="s">
        <v>26</v>
      </c>
      <c r="O108" s="250" t="s">
        <v>620</v>
      </c>
      <c r="P108" s="103" t="s">
        <v>621</v>
      </c>
      <c r="Q108" s="47"/>
    </row>
    <row r="109" spans="1:17" ht="27.6" x14ac:dyDescent="0.3">
      <c r="A109" s="413"/>
      <c r="B109" s="235">
        <v>2021</v>
      </c>
      <c r="C109" s="65">
        <v>0</v>
      </c>
      <c r="D109" s="65">
        <v>0</v>
      </c>
      <c r="E109" s="235">
        <v>0</v>
      </c>
      <c r="F109" s="235">
        <v>0</v>
      </c>
      <c r="G109" s="51">
        <v>0</v>
      </c>
      <c r="H109" s="526"/>
      <c r="I109" s="235" t="s">
        <v>677</v>
      </c>
      <c r="J109" s="235" t="s">
        <v>677</v>
      </c>
      <c r="K109" s="235" t="s">
        <v>634</v>
      </c>
      <c r="L109" s="235" t="s">
        <v>618</v>
      </c>
      <c r="M109" s="235" t="s">
        <v>619</v>
      </c>
      <c r="N109" s="235" t="s">
        <v>26</v>
      </c>
      <c r="O109" s="250" t="s">
        <v>620</v>
      </c>
      <c r="P109" s="103" t="s">
        <v>621</v>
      </c>
      <c r="Q109" s="47"/>
    </row>
    <row r="110" spans="1:17" ht="27.6" x14ac:dyDescent="0.3">
      <c r="A110" s="413"/>
      <c r="B110" s="235">
        <v>2022</v>
      </c>
      <c r="C110" s="65">
        <v>0</v>
      </c>
      <c r="D110" s="65">
        <v>0</v>
      </c>
      <c r="E110" s="235">
        <v>0</v>
      </c>
      <c r="F110" s="235">
        <v>0</v>
      </c>
      <c r="G110" s="51">
        <v>0</v>
      </c>
      <c r="H110" s="526"/>
      <c r="I110" s="235" t="s">
        <v>677</v>
      </c>
      <c r="J110" s="235" t="s">
        <v>677</v>
      </c>
      <c r="K110" s="235" t="s">
        <v>634</v>
      </c>
      <c r="L110" s="235" t="s">
        <v>618</v>
      </c>
      <c r="M110" s="235" t="s">
        <v>619</v>
      </c>
      <c r="N110" s="235" t="s">
        <v>26</v>
      </c>
      <c r="O110" s="250" t="s">
        <v>620</v>
      </c>
      <c r="P110" s="103" t="s">
        <v>621</v>
      </c>
      <c r="Q110" s="47"/>
    </row>
    <row r="111" spans="1:17" ht="27.6" x14ac:dyDescent="0.3">
      <c r="A111" s="413"/>
      <c r="B111" s="250" t="s">
        <v>623</v>
      </c>
      <c r="C111" s="51">
        <f>SUM(C108:C110)</f>
        <v>14000</v>
      </c>
      <c r="D111" s="51">
        <f>SUM(D108:D110)</f>
        <v>21000</v>
      </c>
      <c r="E111" s="235">
        <f>E108+E109</f>
        <v>20</v>
      </c>
      <c r="F111" s="235">
        <f>SUM(F108:F110)</f>
        <v>30</v>
      </c>
      <c r="G111" s="51">
        <f t="shared" si="17"/>
        <v>700</v>
      </c>
      <c r="H111" s="527"/>
      <c r="I111" s="235" t="s">
        <v>677</v>
      </c>
      <c r="J111" s="235" t="s">
        <v>677</v>
      </c>
      <c r="K111" s="235" t="s">
        <v>634</v>
      </c>
      <c r="L111" s="235" t="s">
        <v>618</v>
      </c>
      <c r="M111" s="235" t="s">
        <v>619</v>
      </c>
      <c r="N111" s="235" t="s">
        <v>26</v>
      </c>
      <c r="O111" s="250" t="s">
        <v>620</v>
      </c>
      <c r="P111" s="103" t="s">
        <v>621</v>
      </c>
      <c r="Q111" s="47"/>
    </row>
    <row r="112" spans="1:17" ht="27.6" x14ac:dyDescent="0.3">
      <c r="A112" s="413" t="s">
        <v>682</v>
      </c>
      <c r="B112" s="234" t="s">
        <v>616</v>
      </c>
      <c r="C112" s="241">
        <v>47700</v>
      </c>
      <c r="D112" s="241">
        <v>58300</v>
      </c>
      <c r="E112" s="234">
        <v>20</v>
      </c>
      <c r="F112" s="234">
        <v>24</v>
      </c>
      <c r="G112" s="241">
        <f>((C112+D112)/2)/((E112+F112)/2)</f>
        <v>2409.090909090909</v>
      </c>
      <c r="H112" s="515" t="s">
        <v>656</v>
      </c>
      <c r="I112" s="234" t="s">
        <v>26</v>
      </c>
      <c r="J112" s="234" t="s">
        <v>26</v>
      </c>
      <c r="K112" s="234" t="s">
        <v>634</v>
      </c>
      <c r="L112" s="234" t="s">
        <v>618</v>
      </c>
      <c r="M112" s="234" t="s">
        <v>619</v>
      </c>
      <c r="N112" s="234" t="s">
        <v>26</v>
      </c>
      <c r="O112" s="249" t="s">
        <v>620</v>
      </c>
      <c r="P112" s="107" t="s">
        <v>621</v>
      </c>
      <c r="Q112" s="48"/>
    </row>
    <row r="113" spans="1:17" ht="27.6" x14ac:dyDescent="0.3">
      <c r="A113" s="413"/>
      <c r="B113" s="234" t="s">
        <v>622</v>
      </c>
      <c r="C113" s="520">
        <v>28190</v>
      </c>
      <c r="D113" s="521"/>
      <c r="E113" s="522">
        <v>26.4</v>
      </c>
      <c r="F113" s="523"/>
      <c r="G113" s="241">
        <f t="shared" ref="G113" si="18">((C113+D113)/2)/((E113+F113)/2)</f>
        <v>1067.8030303030303</v>
      </c>
      <c r="H113" s="516"/>
      <c r="I113" s="234" t="s">
        <v>26</v>
      </c>
      <c r="J113" s="234" t="s">
        <v>26</v>
      </c>
      <c r="K113" s="234" t="s">
        <v>634</v>
      </c>
      <c r="L113" s="234" t="s">
        <v>618</v>
      </c>
      <c r="M113" s="234" t="s">
        <v>619</v>
      </c>
      <c r="N113" s="234" t="s">
        <v>26</v>
      </c>
      <c r="O113" s="249" t="s">
        <v>620</v>
      </c>
      <c r="P113" s="107" t="s">
        <v>621</v>
      </c>
      <c r="Q113" s="48"/>
    </row>
    <row r="114" spans="1:17" ht="27.6" x14ac:dyDescent="0.3">
      <c r="A114" s="413"/>
      <c r="B114" s="234">
        <v>2020</v>
      </c>
      <c r="C114" s="241">
        <f>17500*0.8</f>
        <v>14000</v>
      </c>
      <c r="D114" s="241">
        <f>17500*1.2</f>
        <v>21000</v>
      </c>
      <c r="E114" s="234">
        <f>25*0.8</f>
        <v>20</v>
      </c>
      <c r="F114" s="234">
        <f>25*1.2</f>
        <v>30</v>
      </c>
      <c r="G114" s="241">
        <f>18500/28</f>
        <v>660.71428571428567</v>
      </c>
      <c r="H114" s="516"/>
      <c r="I114" s="60">
        <v>1.0746010797840433E-2</v>
      </c>
      <c r="J114" s="240">
        <v>24.237169182604529</v>
      </c>
      <c r="K114" s="234" t="s">
        <v>634</v>
      </c>
      <c r="L114" s="234" t="s">
        <v>618</v>
      </c>
      <c r="M114" s="234" t="s">
        <v>619</v>
      </c>
      <c r="N114" s="234" t="s">
        <v>26</v>
      </c>
      <c r="O114" s="249" t="s">
        <v>620</v>
      </c>
      <c r="P114" s="107" t="s">
        <v>621</v>
      </c>
      <c r="Q114" s="48"/>
    </row>
    <row r="115" spans="1:17" ht="27.6" x14ac:dyDescent="0.3">
      <c r="A115" s="413"/>
      <c r="B115" s="234">
        <v>2021</v>
      </c>
      <c r="C115" s="241">
        <v>8570</v>
      </c>
      <c r="D115" s="241">
        <v>10570</v>
      </c>
      <c r="E115" s="240">
        <v>0</v>
      </c>
      <c r="F115" s="240">
        <v>2</v>
      </c>
      <c r="G115" s="241">
        <f>((C115+D115)/2)/1</f>
        <v>9570</v>
      </c>
      <c r="H115" s="516"/>
      <c r="I115" s="60">
        <v>2.7066586682663468E-4</v>
      </c>
      <c r="J115" s="240">
        <v>24.237169182604529</v>
      </c>
      <c r="K115" s="234" t="s">
        <v>634</v>
      </c>
      <c r="L115" s="234" t="s">
        <v>618</v>
      </c>
      <c r="M115" s="234" t="s">
        <v>619</v>
      </c>
      <c r="N115" s="234" t="s">
        <v>26</v>
      </c>
      <c r="O115" s="249" t="s">
        <v>620</v>
      </c>
      <c r="P115" s="107" t="s">
        <v>621</v>
      </c>
      <c r="Q115" s="48"/>
    </row>
    <row r="116" spans="1:17" ht="27.6" x14ac:dyDescent="0.3">
      <c r="A116" s="413"/>
      <c r="B116" s="234">
        <v>2022</v>
      </c>
      <c r="C116" s="241">
        <v>0</v>
      </c>
      <c r="D116" s="241">
        <v>0</v>
      </c>
      <c r="E116" s="234">
        <v>0</v>
      </c>
      <c r="F116" s="234">
        <v>0</v>
      </c>
      <c r="G116" s="241">
        <v>0</v>
      </c>
      <c r="H116" s="516"/>
      <c r="I116" s="60">
        <v>0</v>
      </c>
      <c r="J116" s="240">
        <v>0</v>
      </c>
      <c r="K116" s="234" t="s">
        <v>634</v>
      </c>
      <c r="L116" s="234" t="s">
        <v>618</v>
      </c>
      <c r="M116" s="234" t="s">
        <v>619</v>
      </c>
      <c r="N116" s="234" t="s">
        <v>26</v>
      </c>
      <c r="O116" s="249" t="s">
        <v>620</v>
      </c>
      <c r="P116" s="107" t="s">
        <v>621</v>
      </c>
      <c r="Q116" s="48"/>
    </row>
    <row r="117" spans="1:17" ht="27.6" x14ac:dyDescent="0.3">
      <c r="A117" s="413"/>
      <c r="B117" s="249" t="s">
        <v>623</v>
      </c>
      <c r="C117" s="241">
        <f>SUM(C114:C116)</f>
        <v>22570</v>
      </c>
      <c r="D117" s="241">
        <f>SUM(D114:D116)</f>
        <v>31570</v>
      </c>
      <c r="E117" s="240">
        <f>E114+E115</f>
        <v>20</v>
      </c>
      <c r="F117" s="240">
        <f>SUM(F114:F116)</f>
        <v>32</v>
      </c>
      <c r="G117" s="241">
        <f t="shared" ref="G117" si="19">((C117+D117)/2)/((E117+F117)/2)</f>
        <v>1041.1538461538462</v>
      </c>
      <c r="H117" s="517"/>
      <c r="I117" s="60">
        <v>1.1016676664667067E-2</v>
      </c>
      <c r="J117" s="240">
        <v>24.237169182604529</v>
      </c>
      <c r="K117" s="234" t="s">
        <v>634</v>
      </c>
      <c r="L117" s="234" t="s">
        <v>618</v>
      </c>
      <c r="M117" s="234" t="s">
        <v>619</v>
      </c>
      <c r="N117" s="234" t="s">
        <v>26</v>
      </c>
      <c r="O117" s="249" t="s">
        <v>620</v>
      </c>
      <c r="P117" s="107" t="s">
        <v>621</v>
      </c>
      <c r="Q117" s="48"/>
    </row>
    <row r="118" spans="1:17" ht="27.6" x14ac:dyDescent="0.3">
      <c r="A118" s="413" t="s">
        <v>683</v>
      </c>
      <c r="B118" s="234" t="s">
        <v>616</v>
      </c>
      <c r="C118" s="520" t="s">
        <v>26</v>
      </c>
      <c r="D118" s="521"/>
      <c r="E118" s="234">
        <v>15</v>
      </c>
      <c r="F118" s="234">
        <v>19</v>
      </c>
      <c r="G118" s="241" t="s">
        <v>26</v>
      </c>
      <c r="H118" s="515" t="s">
        <v>672</v>
      </c>
      <c r="I118" s="234" t="s">
        <v>26</v>
      </c>
      <c r="J118" s="234" t="s">
        <v>26</v>
      </c>
      <c r="K118" s="234" t="s">
        <v>634</v>
      </c>
      <c r="L118" s="234" t="s">
        <v>618</v>
      </c>
      <c r="M118" s="234" t="s">
        <v>619</v>
      </c>
      <c r="N118" s="234" t="s">
        <v>26</v>
      </c>
      <c r="O118" s="249" t="s">
        <v>620</v>
      </c>
      <c r="P118" s="107" t="s">
        <v>621</v>
      </c>
      <c r="Q118" s="48"/>
    </row>
    <row r="119" spans="1:17" ht="27.6" x14ac:dyDescent="0.3">
      <c r="A119" s="413"/>
      <c r="B119" s="234" t="s">
        <v>622</v>
      </c>
      <c r="C119" s="520">
        <v>27664</v>
      </c>
      <c r="D119" s="521"/>
      <c r="E119" s="522">
        <v>8.6999999999999993</v>
      </c>
      <c r="F119" s="523"/>
      <c r="G119" s="241" t="s">
        <v>26</v>
      </c>
      <c r="H119" s="516"/>
      <c r="I119" s="234" t="s">
        <v>26</v>
      </c>
      <c r="J119" s="234" t="s">
        <v>26</v>
      </c>
      <c r="K119" s="234" t="s">
        <v>634</v>
      </c>
      <c r="L119" s="234" t="s">
        <v>618</v>
      </c>
      <c r="M119" s="234" t="s">
        <v>619</v>
      </c>
      <c r="N119" s="234" t="s">
        <v>26</v>
      </c>
      <c r="O119" s="249" t="s">
        <v>620</v>
      </c>
      <c r="P119" s="107" t="s">
        <v>621</v>
      </c>
      <c r="Q119" s="48"/>
    </row>
    <row r="120" spans="1:17" ht="27.6" x14ac:dyDescent="0.3">
      <c r="A120" s="413"/>
      <c r="B120" s="234">
        <v>2020</v>
      </c>
      <c r="C120" s="241">
        <f>30000*0.8</f>
        <v>24000</v>
      </c>
      <c r="D120" s="241">
        <f>30000*1.2</f>
        <v>36000</v>
      </c>
      <c r="E120" s="234">
        <v>11.2</v>
      </c>
      <c r="F120" s="234">
        <v>16.8</v>
      </c>
      <c r="G120" s="241">
        <f>30000/14</f>
        <v>2142.8571428571427</v>
      </c>
      <c r="H120" s="516"/>
      <c r="I120" s="249" t="s">
        <v>684</v>
      </c>
      <c r="J120" s="249" t="s">
        <v>684</v>
      </c>
      <c r="K120" s="234" t="s">
        <v>634</v>
      </c>
      <c r="L120" s="234" t="s">
        <v>618</v>
      </c>
      <c r="M120" s="234" t="s">
        <v>619</v>
      </c>
      <c r="N120" s="234" t="s">
        <v>26</v>
      </c>
      <c r="O120" s="249" t="s">
        <v>620</v>
      </c>
      <c r="P120" s="107" t="s">
        <v>621</v>
      </c>
      <c r="Q120" s="48"/>
    </row>
    <row r="121" spans="1:17" ht="27.6" x14ac:dyDescent="0.3">
      <c r="A121" s="413"/>
      <c r="B121" s="234">
        <v>2021</v>
      </c>
      <c r="C121" s="241">
        <v>0</v>
      </c>
      <c r="D121" s="241">
        <f>F121*G121</f>
        <v>1860</v>
      </c>
      <c r="E121" s="234">
        <v>0</v>
      </c>
      <c r="F121" s="234">
        <v>1</v>
      </c>
      <c r="G121" s="241">
        <v>1860</v>
      </c>
      <c r="H121" s="516"/>
      <c r="I121" s="249" t="s">
        <v>684</v>
      </c>
      <c r="J121" s="249" t="s">
        <v>684</v>
      </c>
      <c r="K121" s="234" t="s">
        <v>634</v>
      </c>
      <c r="L121" s="234" t="s">
        <v>618</v>
      </c>
      <c r="M121" s="234" t="s">
        <v>619</v>
      </c>
      <c r="N121" s="234" t="s">
        <v>26</v>
      </c>
      <c r="O121" s="249" t="s">
        <v>620</v>
      </c>
      <c r="P121" s="107" t="s">
        <v>621</v>
      </c>
      <c r="Q121" s="48"/>
    </row>
    <row r="122" spans="1:17" ht="27.6" x14ac:dyDescent="0.3">
      <c r="A122" s="413"/>
      <c r="B122" s="234">
        <v>2022</v>
      </c>
      <c r="C122" s="241">
        <v>0</v>
      </c>
      <c r="D122" s="241">
        <v>0</v>
      </c>
      <c r="E122" s="234">
        <v>0</v>
      </c>
      <c r="F122" s="234">
        <v>0</v>
      </c>
      <c r="G122" s="241" t="s">
        <v>26</v>
      </c>
      <c r="H122" s="516"/>
      <c r="I122" s="249" t="s">
        <v>684</v>
      </c>
      <c r="J122" s="249" t="s">
        <v>684</v>
      </c>
      <c r="K122" s="234" t="s">
        <v>634</v>
      </c>
      <c r="L122" s="234" t="s">
        <v>618</v>
      </c>
      <c r="M122" s="234" t="s">
        <v>619</v>
      </c>
      <c r="N122" s="234" t="s">
        <v>26</v>
      </c>
      <c r="O122" s="249" t="s">
        <v>620</v>
      </c>
      <c r="P122" s="107" t="s">
        <v>621</v>
      </c>
      <c r="Q122" s="48"/>
    </row>
    <row r="123" spans="1:17" ht="27.6" x14ac:dyDescent="0.3">
      <c r="A123" s="413"/>
      <c r="B123" s="249" t="s">
        <v>623</v>
      </c>
      <c r="C123" s="241">
        <f>SUM(C120:C122)</f>
        <v>24000</v>
      </c>
      <c r="D123" s="241">
        <f>SUM(D120:D122)</f>
        <v>37860</v>
      </c>
      <c r="E123" s="234">
        <f>SUM(E120:E122)</f>
        <v>11.2</v>
      </c>
      <c r="F123" s="234">
        <f>SUM(F120:F122)</f>
        <v>17.8</v>
      </c>
      <c r="G123" s="241">
        <f>((C123+D123)/2)/((E123+F123)/2)</f>
        <v>2133.1034482758619</v>
      </c>
      <c r="H123" s="517"/>
      <c r="I123" s="249" t="s">
        <v>684</v>
      </c>
      <c r="J123" s="249" t="s">
        <v>684</v>
      </c>
      <c r="K123" s="234" t="s">
        <v>634</v>
      </c>
      <c r="L123" s="234" t="s">
        <v>618</v>
      </c>
      <c r="M123" s="234" t="s">
        <v>619</v>
      </c>
      <c r="N123" s="234" t="s">
        <v>26</v>
      </c>
      <c r="O123" s="249" t="s">
        <v>620</v>
      </c>
      <c r="P123" s="107" t="s">
        <v>621</v>
      </c>
      <c r="Q123" s="48"/>
    </row>
    <row r="124" spans="1:17" ht="27.6" x14ac:dyDescent="0.3">
      <c r="A124" s="413" t="s">
        <v>685</v>
      </c>
      <c r="B124" s="234" t="s">
        <v>616</v>
      </c>
      <c r="C124" s="234" t="s">
        <v>26</v>
      </c>
      <c r="D124" s="234" t="s">
        <v>26</v>
      </c>
      <c r="E124" s="234" t="s">
        <v>26</v>
      </c>
      <c r="F124" s="234" t="s">
        <v>26</v>
      </c>
      <c r="G124" s="234" t="s">
        <v>26</v>
      </c>
      <c r="H124" s="234" t="s">
        <v>26</v>
      </c>
      <c r="I124" s="234" t="s">
        <v>26</v>
      </c>
      <c r="J124" s="234" t="s">
        <v>26</v>
      </c>
      <c r="K124" s="234" t="s">
        <v>26</v>
      </c>
      <c r="L124" s="234" t="s">
        <v>618</v>
      </c>
      <c r="M124" s="234" t="s">
        <v>619</v>
      </c>
      <c r="N124" s="234" t="s">
        <v>638</v>
      </c>
      <c r="O124" s="249" t="s">
        <v>620</v>
      </c>
      <c r="P124" s="107" t="s">
        <v>621</v>
      </c>
      <c r="Q124" s="48"/>
    </row>
    <row r="125" spans="1:17" ht="27.6" x14ac:dyDescent="0.3">
      <c r="A125" s="413"/>
      <c r="B125" s="234" t="s">
        <v>622</v>
      </c>
      <c r="C125" s="522" t="s">
        <v>26</v>
      </c>
      <c r="D125" s="523"/>
      <c r="E125" s="234" t="s">
        <v>26</v>
      </c>
      <c r="F125" s="234" t="s">
        <v>26</v>
      </c>
      <c r="G125" s="234" t="s">
        <v>26</v>
      </c>
      <c r="H125" s="234" t="s">
        <v>26</v>
      </c>
      <c r="I125" s="234" t="s">
        <v>26</v>
      </c>
      <c r="J125" s="234" t="s">
        <v>26</v>
      </c>
      <c r="K125" s="234" t="s">
        <v>26</v>
      </c>
      <c r="L125" s="234" t="s">
        <v>618</v>
      </c>
      <c r="M125" s="234" t="s">
        <v>619</v>
      </c>
      <c r="N125" s="234" t="s">
        <v>638</v>
      </c>
      <c r="O125" s="249" t="s">
        <v>620</v>
      </c>
      <c r="P125" s="107" t="s">
        <v>621</v>
      </c>
      <c r="Q125" s="48"/>
    </row>
    <row r="126" spans="1:17" ht="27.6" x14ac:dyDescent="0.3">
      <c r="A126" s="413"/>
      <c r="B126" s="234">
        <v>2020</v>
      </c>
      <c r="C126" s="241">
        <v>0</v>
      </c>
      <c r="D126" s="241">
        <v>0</v>
      </c>
      <c r="E126" s="234" t="s">
        <v>26</v>
      </c>
      <c r="F126" s="234" t="s">
        <v>26</v>
      </c>
      <c r="G126" s="49">
        <f>((C126+D126)/2)/17277</f>
        <v>0</v>
      </c>
      <c r="H126" s="234" t="s">
        <v>26</v>
      </c>
      <c r="I126" s="234">
        <v>0</v>
      </c>
      <c r="J126" s="234">
        <v>0</v>
      </c>
      <c r="K126" s="234" t="s">
        <v>26</v>
      </c>
      <c r="L126" s="234" t="s">
        <v>618</v>
      </c>
      <c r="M126" s="234" t="s">
        <v>619</v>
      </c>
      <c r="N126" s="234" t="s">
        <v>638</v>
      </c>
      <c r="O126" s="249" t="s">
        <v>620</v>
      </c>
      <c r="P126" s="107" t="s">
        <v>621</v>
      </c>
      <c r="Q126" s="48"/>
    </row>
    <row r="127" spans="1:17" ht="27.6" x14ac:dyDescent="0.3">
      <c r="A127" s="413"/>
      <c r="B127" s="234">
        <v>2021</v>
      </c>
      <c r="C127" s="241">
        <v>950</v>
      </c>
      <c r="D127" s="241">
        <v>1150</v>
      </c>
      <c r="E127" s="234" t="s">
        <v>26</v>
      </c>
      <c r="F127" s="234" t="s">
        <v>26</v>
      </c>
      <c r="G127" s="49">
        <f t="shared" ref="G127:G129" si="20">((C127+D127)/2)/17277</f>
        <v>6.0774440006945651E-2</v>
      </c>
      <c r="H127" s="234" t="s">
        <v>26</v>
      </c>
      <c r="I127" s="64">
        <v>6.0756558456299655E-3</v>
      </c>
      <c r="J127" s="70">
        <v>259.68494351481866</v>
      </c>
      <c r="K127" s="234" t="s">
        <v>26</v>
      </c>
      <c r="L127" s="234" t="s">
        <v>618</v>
      </c>
      <c r="M127" s="234" t="s">
        <v>619</v>
      </c>
      <c r="N127" s="234" t="s">
        <v>638</v>
      </c>
      <c r="O127" s="249" t="s">
        <v>620</v>
      </c>
      <c r="P127" s="107" t="s">
        <v>621</v>
      </c>
      <c r="Q127" s="48"/>
    </row>
    <row r="128" spans="1:17" ht="27.6" x14ac:dyDescent="0.3">
      <c r="A128" s="413"/>
      <c r="B128" s="234">
        <v>2022</v>
      </c>
      <c r="C128" s="241">
        <v>1900</v>
      </c>
      <c r="D128" s="241">
        <v>2300</v>
      </c>
      <c r="E128" s="234" t="s">
        <v>26</v>
      </c>
      <c r="F128" s="234" t="s">
        <v>26</v>
      </c>
      <c r="G128" s="49">
        <f t="shared" si="20"/>
        <v>0.1215488800138913</v>
      </c>
      <c r="H128" s="234" t="s">
        <v>26</v>
      </c>
      <c r="I128" s="64">
        <v>6.0756558456299655E-3</v>
      </c>
      <c r="J128" s="70">
        <v>259.68494351481866</v>
      </c>
      <c r="K128" s="234" t="s">
        <v>26</v>
      </c>
      <c r="L128" s="234" t="s">
        <v>618</v>
      </c>
      <c r="M128" s="234" t="s">
        <v>619</v>
      </c>
      <c r="N128" s="234" t="s">
        <v>638</v>
      </c>
      <c r="O128" s="249" t="s">
        <v>620</v>
      </c>
      <c r="P128" s="107" t="s">
        <v>621</v>
      </c>
      <c r="Q128" s="48"/>
    </row>
    <row r="129" spans="1:17" ht="27.6" x14ac:dyDescent="0.3">
      <c r="A129" s="413"/>
      <c r="B129" s="249" t="s">
        <v>623</v>
      </c>
      <c r="C129" s="241">
        <f>SUM(C126:C128)</f>
        <v>2850</v>
      </c>
      <c r="D129" s="241">
        <f>SUM(D126:D128)</f>
        <v>3450</v>
      </c>
      <c r="E129" s="234" t="s">
        <v>26</v>
      </c>
      <c r="F129" s="234" t="s">
        <v>26</v>
      </c>
      <c r="G129" s="49">
        <f t="shared" si="20"/>
        <v>0.18232332002083695</v>
      </c>
      <c r="H129" s="234" t="s">
        <v>26</v>
      </c>
      <c r="I129" s="64">
        <v>6.0756558456299655E-3</v>
      </c>
      <c r="J129" s="70">
        <v>259.68494351481866</v>
      </c>
      <c r="K129" s="234" t="s">
        <v>26</v>
      </c>
      <c r="L129" s="234" t="s">
        <v>618</v>
      </c>
      <c r="M129" s="234" t="s">
        <v>619</v>
      </c>
      <c r="N129" s="234" t="s">
        <v>638</v>
      </c>
      <c r="O129" s="249" t="s">
        <v>620</v>
      </c>
      <c r="P129" s="107" t="s">
        <v>621</v>
      </c>
      <c r="Q129" s="48"/>
    </row>
    <row r="130" spans="1:17" ht="27.6" customHeight="1" x14ac:dyDescent="0.3">
      <c r="A130" s="413" t="s">
        <v>686</v>
      </c>
      <c r="B130" s="235" t="s">
        <v>616</v>
      </c>
      <c r="C130" s="51">
        <v>8800</v>
      </c>
      <c r="D130" s="51">
        <v>13200</v>
      </c>
      <c r="E130" s="235" t="s">
        <v>26</v>
      </c>
      <c r="F130" s="235" t="s">
        <v>26</v>
      </c>
      <c r="G130" s="50">
        <f>((C130+D130)/2)/17277</f>
        <v>0.63668460959657347</v>
      </c>
      <c r="H130" s="235" t="s">
        <v>26</v>
      </c>
      <c r="I130" s="533" t="s">
        <v>687</v>
      </c>
      <c r="J130" s="534"/>
      <c r="K130" s="235" t="s">
        <v>26</v>
      </c>
      <c r="L130" s="235" t="s">
        <v>618</v>
      </c>
      <c r="M130" s="235" t="s">
        <v>619</v>
      </c>
      <c r="N130" s="235" t="s">
        <v>638</v>
      </c>
      <c r="O130" s="250" t="s">
        <v>620</v>
      </c>
      <c r="P130" s="103" t="s">
        <v>621</v>
      </c>
      <c r="Q130" s="47"/>
    </row>
    <row r="131" spans="1:17" ht="27.6" customHeight="1" x14ac:dyDescent="0.3">
      <c r="A131" s="413"/>
      <c r="B131" s="235" t="s">
        <v>622</v>
      </c>
      <c r="C131" s="505">
        <v>7086</v>
      </c>
      <c r="D131" s="506"/>
      <c r="E131" s="235" t="s">
        <v>26</v>
      </c>
      <c r="F131" s="235" t="s">
        <v>26</v>
      </c>
      <c r="G131" s="50">
        <f t="shared" ref="G131:G135" si="21">((C131+D131)/2)/17277</f>
        <v>0.2050703247091509</v>
      </c>
      <c r="H131" s="235" t="s">
        <v>26</v>
      </c>
      <c r="I131" s="535"/>
      <c r="J131" s="536"/>
      <c r="K131" s="235" t="s">
        <v>26</v>
      </c>
      <c r="L131" s="235" t="s">
        <v>618</v>
      </c>
      <c r="M131" s="235" t="s">
        <v>619</v>
      </c>
      <c r="N131" s="235" t="s">
        <v>638</v>
      </c>
      <c r="O131" s="250" t="s">
        <v>620</v>
      </c>
      <c r="P131" s="103" t="s">
        <v>621</v>
      </c>
      <c r="Q131" s="47"/>
    </row>
    <row r="132" spans="1:17" ht="27.6" customHeight="1" x14ac:dyDescent="0.3">
      <c r="A132" s="413"/>
      <c r="B132" s="235">
        <v>2020</v>
      </c>
      <c r="C132" s="51">
        <f>31500*0.8</f>
        <v>25200</v>
      </c>
      <c r="D132" s="51">
        <f>31500*1.2</f>
        <v>37800</v>
      </c>
      <c r="E132" s="235" t="s">
        <v>26</v>
      </c>
      <c r="F132" s="235" t="s">
        <v>26</v>
      </c>
      <c r="G132" s="50">
        <f t="shared" si="21"/>
        <v>1.8232332002083695</v>
      </c>
      <c r="H132" s="235" t="s">
        <v>26</v>
      </c>
      <c r="I132" s="535"/>
      <c r="J132" s="536"/>
      <c r="K132" s="235" t="s">
        <v>26</v>
      </c>
      <c r="L132" s="235" t="s">
        <v>618</v>
      </c>
      <c r="M132" s="235" t="s">
        <v>619</v>
      </c>
      <c r="N132" s="235" t="s">
        <v>638</v>
      </c>
      <c r="O132" s="250" t="s">
        <v>620</v>
      </c>
      <c r="P132" s="103" t="s">
        <v>621</v>
      </c>
      <c r="Q132" s="47"/>
    </row>
    <row r="133" spans="1:17" ht="27.6" customHeight="1" x14ac:dyDescent="0.3">
      <c r="A133" s="413"/>
      <c r="B133" s="235">
        <v>2021</v>
      </c>
      <c r="C133" s="51">
        <f>31500*0.8</f>
        <v>25200</v>
      </c>
      <c r="D133" s="51">
        <f>31500*1.2</f>
        <v>37800</v>
      </c>
      <c r="E133" s="235" t="s">
        <v>26</v>
      </c>
      <c r="F133" s="235" t="s">
        <v>26</v>
      </c>
      <c r="G133" s="50">
        <f t="shared" si="21"/>
        <v>1.8232332002083695</v>
      </c>
      <c r="H133" s="235" t="s">
        <v>26</v>
      </c>
      <c r="I133" s="535"/>
      <c r="J133" s="536"/>
      <c r="K133" s="235" t="s">
        <v>26</v>
      </c>
      <c r="L133" s="235" t="s">
        <v>618</v>
      </c>
      <c r="M133" s="235" t="s">
        <v>619</v>
      </c>
      <c r="N133" s="235" t="s">
        <v>638</v>
      </c>
      <c r="O133" s="250" t="s">
        <v>620</v>
      </c>
      <c r="P133" s="103" t="s">
        <v>621</v>
      </c>
      <c r="Q133" s="47"/>
    </row>
    <row r="134" spans="1:17" ht="27.6" customHeight="1" x14ac:dyDescent="0.3">
      <c r="A134" s="413"/>
      <c r="B134" s="235">
        <v>2022</v>
      </c>
      <c r="C134" s="51">
        <f>41500*0.8</f>
        <v>33200</v>
      </c>
      <c r="D134" s="51">
        <f>41500*1.2</f>
        <v>49800</v>
      </c>
      <c r="E134" s="235" t="s">
        <v>26</v>
      </c>
      <c r="F134" s="235" t="s">
        <v>26</v>
      </c>
      <c r="G134" s="50">
        <f t="shared" si="21"/>
        <v>2.4020373907507091</v>
      </c>
      <c r="H134" s="235" t="s">
        <v>26</v>
      </c>
      <c r="I134" s="535"/>
      <c r="J134" s="536"/>
      <c r="K134" s="235" t="s">
        <v>26</v>
      </c>
      <c r="L134" s="235" t="s">
        <v>618</v>
      </c>
      <c r="M134" s="235" t="s">
        <v>619</v>
      </c>
      <c r="N134" s="235" t="s">
        <v>638</v>
      </c>
      <c r="O134" s="250" t="s">
        <v>620</v>
      </c>
      <c r="P134" s="103" t="s">
        <v>621</v>
      </c>
      <c r="Q134" s="47"/>
    </row>
    <row r="135" spans="1:17" ht="27.6" customHeight="1" x14ac:dyDescent="0.3">
      <c r="A135" s="413"/>
      <c r="B135" s="250" t="s">
        <v>623</v>
      </c>
      <c r="C135" s="51">
        <f>SUM(C132:C134)</f>
        <v>83600</v>
      </c>
      <c r="D135" s="51">
        <f>SUM(D132:D134)</f>
        <v>125400</v>
      </c>
      <c r="E135" s="235" t="s">
        <v>26</v>
      </c>
      <c r="F135" s="235" t="s">
        <v>26</v>
      </c>
      <c r="G135" s="50">
        <f t="shared" si="21"/>
        <v>6.0485037911674482</v>
      </c>
      <c r="H135" s="235" t="s">
        <v>26</v>
      </c>
      <c r="I135" s="537"/>
      <c r="J135" s="538"/>
      <c r="K135" s="235" t="s">
        <v>26</v>
      </c>
      <c r="L135" s="235" t="s">
        <v>618</v>
      </c>
      <c r="M135" s="235" t="s">
        <v>619</v>
      </c>
      <c r="N135" s="235" t="s">
        <v>638</v>
      </c>
      <c r="O135" s="250" t="s">
        <v>620</v>
      </c>
      <c r="P135" s="103" t="s">
        <v>621</v>
      </c>
      <c r="Q135" s="47"/>
    </row>
  </sheetData>
  <mergeCells count="96">
    <mergeCell ref="I130:J135"/>
    <mergeCell ref="A130:A135"/>
    <mergeCell ref="C131:D131"/>
    <mergeCell ref="A118:A123"/>
    <mergeCell ref="C118:D118"/>
    <mergeCell ref="H118:H123"/>
    <mergeCell ref="C119:D119"/>
    <mergeCell ref="E119:F119"/>
    <mergeCell ref="A124:A129"/>
    <mergeCell ref="C125:D125"/>
    <mergeCell ref="A106:A111"/>
    <mergeCell ref="H106:H111"/>
    <mergeCell ref="C107:D107"/>
    <mergeCell ref="E107:F107"/>
    <mergeCell ref="A112:A117"/>
    <mergeCell ref="H112:H117"/>
    <mergeCell ref="C113:D113"/>
    <mergeCell ref="E113:F113"/>
    <mergeCell ref="A94:A99"/>
    <mergeCell ref="H94:H99"/>
    <mergeCell ref="C95:D95"/>
    <mergeCell ref="E95:F95"/>
    <mergeCell ref="A100:A105"/>
    <mergeCell ref="H100:H105"/>
    <mergeCell ref="C101:D101"/>
    <mergeCell ref="E101:F101"/>
    <mergeCell ref="A82:A87"/>
    <mergeCell ref="H82:H87"/>
    <mergeCell ref="C83:D83"/>
    <mergeCell ref="E83:F83"/>
    <mergeCell ref="A88:A93"/>
    <mergeCell ref="H88:H93"/>
    <mergeCell ref="C89:D89"/>
    <mergeCell ref="E89:F89"/>
    <mergeCell ref="A70:A75"/>
    <mergeCell ref="H70:H75"/>
    <mergeCell ref="C71:D71"/>
    <mergeCell ref="A76:A81"/>
    <mergeCell ref="H76:H81"/>
    <mergeCell ref="C77:D77"/>
    <mergeCell ref="E77:F77"/>
    <mergeCell ref="I58:J63"/>
    <mergeCell ref="C59:D59"/>
    <mergeCell ref="A64:A69"/>
    <mergeCell ref="H64:H69"/>
    <mergeCell ref="C65:D65"/>
    <mergeCell ref="A52:A57"/>
    <mergeCell ref="H52:H57"/>
    <mergeCell ref="C53:D53"/>
    <mergeCell ref="A58:A63"/>
    <mergeCell ref="H58:H63"/>
    <mergeCell ref="A40:A45"/>
    <mergeCell ref="H40:H45"/>
    <mergeCell ref="C41:D41"/>
    <mergeCell ref="A46:A51"/>
    <mergeCell ref="H46:H51"/>
    <mergeCell ref="C47:D47"/>
    <mergeCell ref="E47:F47"/>
    <mergeCell ref="A28:A33"/>
    <mergeCell ref="H28:H33"/>
    <mergeCell ref="C29:D29"/>
    <mergeCell ref="E29:F29"/>
    <mergeCell ref="A34:A39"/>
    <mergeCell ref="H34:H39"/>
    <mergeCell ref="C35:D35"/>
    <mergeCell ref="E35:F35"/>
    <mergeCell ref="A16:A21"/>
    <mergeCell ref="H16:H21"/>
    <mergeCell ref="C17:D17"/>
    <mergeCell ref="E17:F17"/>
    <mergeCell ref="A22:A27"/>
    <mergeCell ref="H22:H27"/>
    <mergeCell ref="C23:D23"/>
    <mergeCell ref="E23:F23"/>
    <mergeCell ref="E2:F2"/>
    <mergeCell ref="G2:G3"/>
    <mergeCell ref="A10:A15"/>
    <mergeCell ref="H10:H15"/>
    <mergeCell ref="C11:D11"/>
    <mergeCell ref="H2:H3"/>
    <mergeCell ref="O2:O3"/>
    <mergeCell ref="P2:P3"/>
    <mergeCell ref="Q2:Q3"/>
    <mergeCell ref="A4:A9"/>
    <mergeCell ref="H4:H9"/>
    <mergeCell ref="C5:D5"/>
    <mergeCell ref="E5:F5"/>
    <mergeCell ref="I2:I3"/>
    <mergeCell ref="J2:J3"/>
    <mergeCell ref="K2:K3"/>
    <mergeCell ref="L2:L3"/>
    <mergeCell ref="M2:M3"/>
    <mergeCell ref="N2:N3"/>
    <mergeCell ref="A2:A3"/>
    <mergeCell ref="B2:B3"/>
    <mergeCell ref="C2:D2"/>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10" manualBreakCount="10">
    <brk id="15" max="16383" man="1"/>
    <brk id="27" max="16383" man="1"/>
    <brk id="39" max="16383" man="1"/>
    <brk id="51" max="16383" man="1"/>
    <brk id="63" max="16383" man="1"/>
    <brk id="75" max="16383" man="1"/>
    <brk id="87" max="16383" man="1"/>
    <brk id="99" max="16383" man="1"/>
    <brk id="111" max="16383" man="1"/>
    <brk id="12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C51F-5071-4E5B-B5B9-373A9AFC83C9}">
  <dimension ref="A1:L107"/>
  <sheetViews>
    <sheetView view="pageLayout" topLeftCell="A6" zoomScale="70" zoomScaleNormal="100" zoomScaleSheetLayoutView="85" zoomScalePageLayoutView="70" workbookViewId="0">
      <selection activeCell="M98" sqref="M98"/>
    </sheetView>
  </sheetViews>
  <sheetFormatPr defaultRowHeight="14.4" x14ac:dyDescent="0.3"/>
  <cols>
    <col min="1" max="1" width="19.109375" customWidth="1"/>
    <col min="2" max="2" width="26.33203125" customWidth="1"/>
    <col min="3" max="4" width="7.44140625" bestFit="1" customWidth="1"/>
    <col min="5" max="6" width="8" customWidth="1"/>
    <col min="7" max="7" width="8.33203125" customWidth="1"/>
    <col min="8" max="8" width="7.109375" customWidth="1"/>
  </cols>
  <sheetData>
    <row r="1" spans="1:12" ht="18" x14ac:dyDescent="0.35">
      <c r="A1" s="443" t="s">
        <v>688</v>
      </c>
      <c r="B1" s="444"/>
      <c r="C1" s="444"/>
      <c r="D1" s="444"/>
      <c r="E1" s="444"/>
      <c r="F1" s="444"/>
      <c r="G1" s="444"/>
      <c r="H1" s="445"/>
      <c r="I1" s="2"/>
    </row>
    <row r="2" spans="1:12" ht="45" customHeight="1" x14ac:dyDescent="0.35">
      <c r="A2" s="539" t="s">
        <v>600</v>
      </c>
      <c r="B2" s="539" t="s">
        <v>291</v>
      </c>
      <c r="C2" s="539" t="s">
        <v>689</v>
      </c>
      <c r="D2" s="539"/>
      <c r="E2" s="202"/>
      <c r="F2" s="202"/>
      <c r="G2" s="202"/>
      <c r="H2" s="321"/>
      <c r="I2" s="2"/>
    </row>
    <row r="3" spans="1:12" x14ac:dyDescent="0.3">
      <c r="A3" s="498"/>
      <c r="B3" s="498"/>
      <c r="C3" s="54" t="s">
        <v>613</v>
      </c>
      <c r="D3" s="54" t="s">
        <v>614</v>
      </c>
      <c r="E3" s="166"/>
      <c r="F3" s="166"/>
      <c r="G3" s="166"/>
      <c r="H3" s="71"/>
      <c r="I3" s="2"/>
    </row>
    <row r="4" spans="1:12" x14ac:dyDescent="0.3">
      <c r="A4" s="413" t="s">
        <v>651</v>
      </c>
      <c r="B4" s="243" t="s">
        <v>646</v>
      </c>
      <c r="C4" s="243" t="s">
        <v>26</v>
      </c>
      <c r="D4" s="243" t="s">
        <v>26</v>
      </c>
      <c r="E4" s="166"/>
      <c r="F4" s="166"/>
      <c r="G4" s="166"/>
      <c r="H4" s="71"/>
      <c r="I4" s="2"/>
    </row>
    <row r="5" spans="1:12" x14ac:dyDescent="0.3">
      <c r="A5" s="413"/>
      <c r="B5" s="243" t="s">
        <v>647</v>
      </c>
      <c r="C5" s="540" t="s">
        <v>26</v>
      </c>
      <c r="D5" s="540"/>
      <c r="E5" s="166"/>
      <c r="F5" s="166"/>
      <c r="G5" s="166"/>
      <c r="H5" s="71"/>
      <c r="I5" s="2"/>
    </row>
    <row r="6" spans="1:12" x14ac:dyDescent="0.3">
      <c r="A6" s="413"/>
      <c r="B6" s="243">
        <v>2020</v>
      </c>
      <c r="C6" s="243">
        <f>30*0.9</f>
        <v>27</v>
      </c>
      <c r="D6" s="243">
        <f>30*1.1</f>
        <v>33</v>
      </c>
      <c r="E6" s="166"/>
      <c r="F6" s="166"/>
      <c r="G6" s="166"/>
      <c r="H6" s="71"/>
      <c r="I6" s="2"/>
    </row>
    <row r="7" spans="1:12" x14ac:dyDescent="0.3">
      <c r="A7" s="413"/>
      <c r="B7" s="243">
        <v>2021</v>
      </c>
      <c r="C7" s="243">
        <v>27</v>
      </c>
      <c r="D7" s="243">
        <v>33</v>
      </c>
      <c r="E7" s="166"/>
      <c r="F7" s="166"/>
      <c r="G7" s="166"/>
      <c r="H7" s="71"/>
      <c r="I7" s="2"/>
    </row>
    <row r="8" spans="1:12" x14ac:dyDescent="0.3">
      <c r="A8" s="413"/>
      <c r="B8" s="243">
        <v>2022</v>
      </c>
      <c r="C8" s="243">
        <v>34</v>
      </c>
      <c r="D8" s="243">
        <v>42</v>
      </c>
      <c r="E8" s="166"/>
      <c r="F8" s="166"/>
      <c r="G8" s="166"/>
      <c r="H8" s="71"/>
      <c r="I8" s="2"/>
      <c r="L8" s="320"/>
    </row>
    <row r="9" spans="1:12" ht="18.600000000000001" customHeight="1" x14ac:dyDescent="0.3">
      <c r="A9" s="413"/>
      <c r="B9" s="242" t="s">
        <v>648</v>
      </c>
      <c r="C9" s="243">
        <f>SUM(C6:C8)</f>
        <v>88</v>
      </c>
      <c r="D9" s="243">
        <f>SUM(D6:D8)</f>
        <v>108</v>
      </c>
      <c r="E9" s="166"/>
      <c r="F9" s="166"/>
      <c r="G9" s="166"/>
      <c r="H9" s="71"/>
      <c r="I9" s="2"/>
    </row>
    <row r="10" spans="1:12" ht="58.5" customHeight="1" x14ac:dyDescent="0.3">
      <c r="A10" s="498" t="s">
        <v>600</v>
      </c>
      <c r="B10" s="498" t="s">
        <v>291</v>
      </c>
      <c r="C10" s="498" t="s">
        <v>690</v>
      </c>
      <c r="D10" s="498"/>
      <c r="E10" s="498" t="s">
        <v>691</v>
      </c>
      <c r="F10" s="498"/>
      <c r="G10" s="343"/>
      <c r="H10" s="344"/>
      <c r="I10" s="2"/>
    </row>
    <row r="11" spans="1:12" x14ac:dyDescent="0.3">
      <c r="A11" s="498"/>
      <c r="B11" s="498"/>
      <c r="C11" s="54" t="s">
        <v>613</v>
      </c>
      <c r="D11" s="54" t="s">
        <v>614</v>
      </c>
      <c r="E11" s="54" t="s">
        <v>613</v>
      </c>
      <c r="F11" s="54" t="s">
        <v>614</v>
      </c>
      <c r="G11" s="343"/>
      <c r="H11" s="344"/>
      <c r="I11" s="2"/>
    </row>
    <row r="12" spans="1:12" x14ac:dyDescent="0.3">
      <c r="A12" s="413" t="s">
        <v>692</v>
      </c>
      <c r="B12" s="253" t="s">
        <v>646</v>
      </c>
      <c r="C12" s="253">
        <v>6</v>
      </c>
      <c r="D12" s="253">
        <v>10</v>
      </c>
      <c r="E12" s="541" t="s">
        <v>693</v>
      </c>
      <c r="F12" s="541"/>
      <c r="G12" s="343"/>
      <c r="H12" s="344"/>
      <c r="I12" s="2"/>
    </row>
    <row r="13" spans="1:12" x14ac:dyDescent="0.3">
      <c r="A13" s="413"/>
      <c r="B13" s="253" t="s">
        <v>647</v>
      </c>
      <c r="C13" s="540">
        <v>8</v>
      </c>
      <c r="D13" s="540"/>
      <c r="E13" s="541"/>
      <c r="F13" s="541"/>
      <c r="G13" s="343"/>
      <c r="H13" s="344"/>
      <c r="I13" s="2"/>
    </row>
    <row r="14" spans="1:12" x14ac:dyDescent="0.3">
      <c r="A14" s="413"/>
      <c r="B14" s="253">
        <v>2020</v>
      </c>
      <c r="C14" s="253">
        <v>6</v>
      </c>
      <c r="D14" s="253">
        <v>10</v>
      </c>
      <c r="E14" s="253">
        <v>4</v>
      </c>
      <c r="F14" s="253">
        <v>8</v>
      </c>
      <c r="G14" s="343"/>
      <c r="H14" s="344"/>
      <c r="I14" s="2"/>
    </row>
    <row r="15" spans="1:12" x14ac:dyDescent="0.3">
      <c r="A15" s="413"/>
      <c r="B15" s="253">
        <v>2021</v>
      </c>
      <c r="C15" s="253">
        <v>7</v>
      </c>
      <c r="D15" s="253">
        <v>11</v>
      </c>
      <c r="E15" s="253">
        <v>6</v>
      </c>
      <c r="F15" s="253">
        <v>10</v>
      </c>
      <c r="G15" s="343"/>
      <c r="H15" s="344"/>
      <c r="I15" s="2"/>
    </row>
    <row r="16" spans="1:12" x14ac:dyDescent="0.3">
      <c r="A16" s="413"/>
      <c r="B16" s="253">
        <v>2022</v>
      </c>
      <c r="C16" s="253">
        <v>12</v>
      </c>
      <c r="D16" s="253">
        <v>18</v>
      </c>
      <c r="E16" s="253">
        <v>4</v>
      </c>
      <c r="F16" s="253">
        <v>8</v>
      </c>
      <c r="G16" s="343"/>
      <c r="H16" s="344"/>
      <c r="I16" s="2"/>
    </row>
    <row r="17" spans="1:9" ht="18" customHeight="1" x14ac:dyDescent="0.3">
      <c r="A17" s="413"/>
      <c r="B17" s="254" t="s">
        <v>648</v>
      </c>
      <c r="C17" s="253">
        <f>SUM(C14:C16)</f>
        <v>25</v>
      </c>
      <c r="D17" s="253">
        <f>SUM(D14:D16)</f>
        <v>39</v>
      </c>
      <c r="E17" s="253">
        <f>SUM(E14:E16)</f>
        <v>14</v>
      </c>
      <c r="F17" s="253">
        <f>SUM(F14:F16)</f>
        <v>26</v>
      </c>
      <c r="G17" s="345"/>
      <c r="H17" s="346"/>
      <c r="I17" s="2"/>
    </row>
    <row r="18" spans="1:9" ht="48" customHeight="1" x14ac:dyDescent="0.3">
      <c r="A18" s="411" t="s">
        <v>694</v>
      </c>
      <c r="B18" s="411"/>
      <c r="C18" s="539" t="s">
        <v>601</v>
      </c>
      <c r="D18" s="539"/>
      <c r="E18" s="539" t="s">
        <v>602</v>
      </c>
      <c r="F18" s="539"/>
      <c r="G18" s="343"/>
      <c r="H18" s="344"/>
      <c r="I18" s="2"/>
    </row>
    <row r="19" spans="1:9" x14ac:dyDescent="0.3">
      <c r="A19" s="413"/>
      <c r="B19" s="413"/>
      <c r="C19" s="244" t="s">
        <v>613</v>
      </c>
      <c r="D19" s="244" t="s">
        <v>614</v>
      </c>
      <c r="E19" s="244" t="s">
        <v>613</v>
      </c>
      <c r="F19" s="244" t="s">
        <v>614</v>
      </c>
      <c r="G19" s="343"/>
      <c r="H19" s="344"/>
      <c r="I19" s="2"/>
    </row>
    <row r="20" spans="1:9" x14ac:dyDescent="0.3">
      <c r="A20" s="542" t="s">
        <v>646</v>
      </c>
      <c r="B20" s="234" t="s">
        <v>695</v>
      </c>
      <c r="C20" s="241">
        <v>49500</v>
      </c>
      <c r="D20" s="241">
        <v>60500</v>
      </c>
      <c r="E20" s="234">
        <v>81</v>
      </c>
      <c r="F20" s="234">
        <v>99</v>
      </c>
      <c r="G20" s="343"/>
      <c r="H20" s="344"/>
      <c r="I20" s="2"/>
    </row>
    <row r="21" spans="1:9" x14ac:dyDescent="0.3">
      <c r="A21" s="542"/>
      <c r="B21" s="234" t="s">
        <v>696</v>
      </c>
      <c r="C21" s="241">
        <v>14400</v>
      </c>
      <c r="D21" s="241">
        <v>21600</v>
      </c>
      <c r="E21" s="240">
        <f>560*262/5280</f>
        <v>27.787878787878789</v>
      </c>
      <c r="F21" s="240">
        <f>840*262/5280</f>
        <v>41.68181818181818</v>
      </c>
      <c r="G21" s="343"/>
      <c r="H21" s="344"/>
      <c r="I21" s="2"/>
    </row>
    <row r="22" spans="1:9" x14ac:dyDescent="0.3">
      <c r="A22" s="542"/>
      <c r="B22" s="234" t="s">
        <v>697</v>
      </c>
      <c r="C22" s="241">
        <v>1800</v>
      </c>
      <c r="D22" s="241">
        <v>3000</v>
      </c>
      <c r="E22" s="234">
        <v>4</v>
      </c>
      <c r="F22" s="234">
        <v>6</v>
      </c>
      <c r="G22" s="343"/>
      <c r="H22" s="344"/>
      <c r="I22" s="2"/>
    </row>
    <row r="23" spans="1:9" x14ac:dyDescent="0.3">
      <c r="A23" s="542"/>
      <c r="B23" s="234" t="s">
        <v>287</v>
      </c>
      <c r="C23" s="241">
        <f>SUM(C20:C22)</f>
        <v>65700</v>
      </c>
      <c r="D23" s="241">
        <f>SUM(D20:D22)</f>
        <v>85100</v>
      </c>
      <c r="E23" s="240">
        <f>SUM(E20:E22)</f>
        <v>112.78787878787878</v>
      </c>
      <c r="F23" s="240">
        <f>SUM(F20:F22)</f>
        <v>146.68181818181819</v>
      </c>
      <c r="G23" s="343"/>
      <c r="H23" s="344"/>
      <c r="I23" s="2"/>
    </row>
    <row r="24" spans="1:9" x14ac:dyDescent="0.3">
      <c r="A24" s="542" t="s">
        <v>647</v>
      </c>
      <c r="B24" s="234" t="s">
        <v>695</v>
      </c>
      <c r="C24" s="543">
        <v>89300</v>
      </c>
      <c r="D24" s="543"/>
      <c r="E24" s="518">
        <v>83</v>
      </c>
      <c r="F24" s="518"/>
      <c r="G24" s="343"/>
      <c r="H24" s="344"/>
      <c r="I24" s="2"/>
    </row>
    <row r="25" spans="1:9" x14ac:dyDescent="0.3">
      <c r="A25" s="542"/>
      <c r="B25" s="234" t="s">
        <v>696</v>
      </c>
      <c r="C25" s="543">
        <v>30880</v>
      </c>
      <c r="D25" s="543"/>
      <c r="E25" s="544">
        <f>(695*260)/5280</f>
        <v>34.223484848484851</v>
      </c>
      <c r="F25" s="544"/>
      <c r="G25" s="343"/>
      <c r="H25" s="344"/>
      <c r="I25" s="2"/>
    </row>
    <row r="26" spans="1:9" x14ac:dyDescent="0.3">
      <c r="A26" s="542"/>
      <c r="B26" s="234" t="s">
        <v>697</v>
      </c>
      <c r="C26" s="543">
        <v>4698</v>
      </c>
      <c r="D26" s="543"/>
      <c r="E26" s="518">
        <v>5.7</v>
      </c>
      <c r="F26" s="518"/>
      <c r="G26" s="343"/>
      <c r="H26" s="344"/>
      <c r="I26" s="2"/>
    </row>
    <row r="27" spans="1:9" x14ac:dyDescent="0.3">
      <c r="A27" s="542"/>
      <c r="B27" s="234" t="s">
        <v>287</v>
      </c>
      <c r="C27" s="543">
        <f>SUM(C24:D26)</f>
        <v>124878</v>
      </c>
      <c r="D27" s="543"/>
      <c r="E27" s="544">
        <f>SUM(E24:F26)</f>
        <v>122.92348484848485</v>
      </c>
      <c r="F27" s="544"/>
      <c r="G27" s="343"/>
      <c r="H27" s="344"/>
      <c r="I27" s="2"/>
    </row>
    <row r="28" spans="1:9" ht="52.5" customHeight="1" x14ac:dyDescent="0.3">
      <c r="A28" s="498" t="s">
        <v>600</v>
      </c>
      <c r="B28" s="498" t="s">
        <v>291</v>
      </c>
      <c r="C28" s="498" t="s">
        <v>698</v>
      </c>
      <c r="D28" s="498"/>
      <c r="E28" s="347"/>
      <c r="F28" s="348"/>
      <c r="G28" s="343"/>
      <c r="H28" s="344"/>
      <c r="I28" s="2"/>
    </row>
    <row r="29" spans="1:9" x14ac:dyDescent="0.3">
      <c r="A29" s="498"/>
      <c r="B29" s="498"/>
      <c r="C29" s="54" t="s">
        <v>613</v>
      </c>
      <c r="D29" s="54" t="s">
        <v>614</v>
      </c>
      <c r="E29" s="349"/>
      <c r="F29" s="350"/>
      <c r="G29" s="343"/>
      <c r="H29" s="344"/>
      <c r="I29" s="2"/>
    </row>
    <row r="30" spans="1:9" x14ac:dyDescent="0.3">
      <c r="A30" s="413" t="s">
        <v>659</v>
      </c>
      <c r="B30" s="255" t="s">
        <v>646</v>
      </c>
      <c r="C30" s="255">
        <v>659</v>
      </c>
      <c r="D30" s="255">
        <v>1023</v>
      </c>
      <c r="E30" s="349"/>
      <c r="F30" s="350"/>
      <c r="G30" s="343"/>
      <c r="H30" s="344"/>
      <c r="I30" s="2"/>
    </row>
    <row r="31" spans="1:9" x14ac:dyDescent="0.3">
      <c r="A31" s="413"/>
      <c r="B31" s="255" t="s">
        <v>647</v>
      </c>
      <c r="C31" s="545">
        <v>725</v>
      </c>
      <c r="D31" s="545"/>
      <c r="E31" s="349"/>
      <c r="F31" s="350"/>
      <c r="G31" s="343"/>
      <c r="H31" s="344"/>
      <c r="I31" s="2"/>
    </row>
    <row r="32" spans="1:9" x14ac:dyDescent="0.3">
      <c r="A32" s="413"/>
      <c r="B32" s="255">
        <v>2020</v>
      </c>
      <c r="C32" s="255">
        <v>600</v>
      </c>
      <c r="D32" s="255">
        <v>740</v>
      </c>
      <c r="E32" s="349"/>
      <c r="F32" s="350"/>
      <c r="G32" s="343"/>
      <c r="H32" s="344"/>
      <c r="I32" s="2"/>
    </row>
    <row r="33" spans="1:9" x14ac:dyDescent="0.3">
      <c r="A33" s="413"/>
      <c r="B33" s="255">
        <v>2021</v>
      </c>
      <c r="C33" s="255">
        <v>600</v>
      </c>
      <c r="D33" s="255">
        <v>740</v>
      </c>
      <c r="E33" s="349"/>
      <c r="F33" s="350"/>
      <c r="G33" s="343"/>
      <c r="H33" s="344"/>
      <c r="I33" s="2"/>
    </row>
    <row r="34" spans="1:9" x14ac:dyDescent="0.3">
      <c r="A34" s="413"/>
      <c r="B34" s="255">
        <v>2022</v>
      </c>
      <c r="C34" s="255">
        <v>600</v>
      </c>
      <c r="D34" s="255">
        <v>740</v>
      </c>
      <c r="E34" s="349"/>
      <c r="F34" s="350"/>
      <c r="G34" s="343"/>
      <c r="H34" s="344"/>
      <c r="I34" s="2"/>
    </row>
    <row r="35" spans="1:9" x14ac:dyDescent="0.3">
      <c r="A35" s="413"/>
      <c r="B35" s="256" t="s">
        <v>648</v>
      </c>
      <c r="C35" s="255">
        <f>SUM(C32:C34)</f>
        <v>1800</v>
      </c>
      <c r="D35" s="255">
        <f>SUM(D32:D34)</f>
        <v>2220</v>
      </c>
      <c r="E35" s="351"/>
      <c r="F35" s="352"/>
      <c r="G35" s="345"/>
      <c r="H35" s="346"/>
      <c r="I35" s="2"/>
    </row>
    <row r="36" spans="1:9" ht="47.25" customHeight="1" x14ac:dyDescent="0.3">
      <c r="A36" s="539" t="s">
        <v>600</v>
      </c>
      <c r="B36" s="539" t="s">
        <v>291</v>
      </c>
      <c r="C36" s="539" t="s">
        <v>699</v>
      </c>
      <c r="D36" s="539"/>
      <c r="E36" s="349"/>
      <c r="F36" s="350"/>
      <c r="G36" s="343"/>
      <c r="H36" s="344"/>
      <c r="I36" s="2"/>
    </row>
    <row r="37" spans="1:9" x14ac:dyDescent="0.3">
      <c r="A37" s="498"/>
      <c r="B37" s="498"/>
      <c r="C37" s="244" t="s">
        <v>613</v>
      </c>
      <c r="D37" s="244" t="s">
        <v>614</v>
      </c>
      <c r="E37" s="349"/>
      <c r="F37" s="350"/>
      <c r="G37" s="343"/>
      <c r="H37" s="344"/>
      <c r="I37" s="2"/>
    </row>
    <row r="38" spans="1:9" x14ac:dyDescent="0.3">
      <c r="A38" s="413" t="s">
        <v>661</v>
      </c>
      <c r="B38" s="234" t="s">
        <v>646</v>
      </c>
      <c r="C38" s="234">
        <v>1800</v>
      </c>
      <c r="D38" s="234">
        <v>2700</v>
      </c>
      <c r="E38" s="349"/>
      <c r="F38" s="350"/>
      <c r="G38" s="343"/>
      <c r="H38" s="344"/>
      <c r="I38" s="2"/>
    </row>
    <row r="39" spans="1:9" x14ac:dyDescent="0.3">
      <c r="A39" s="413"/>
      <c r="B39" s="234" t="s">
        <v>647</v>
      </c>
      <c r="C39" s="518">
        <v>2490</v>
      </c>
      <c r="D39" s="518"/>
      <c r="E39" s="349"/>
      <c r="F39" s="350"/>
      <c r="G39" s="343"/>
      <c r="H39" s="344"/>
      <c r="I39" s="2"/>
    </row>
    <row r="40" spans="1:9" x14ac:dyDescent="0.3">
      <c r="A40" s="413"/>
      <c r="B40" s="234">
        <v>2020</v>
      </c>
      <c r="C40" s="234">
        <f>3000*0.8</f>
        <v>2400</v>
      </c>
      <c r="D40" s="234">
        <f>3000*1.2</f>
        <v>3600</v>
      </c>
      <c r="E40" s="349"/>
      <c r="F40" s="350"/>
      <c r="G40" s="343"/>
      <c r="H40" s="344"/>
      <c r="I40" s="2"/>
    </row>
    <row r="41" spans="1:9" x14ac:dyDescent="0.3">
      <c r="A41" s="413"/>
      <c r="B41" s="234">
        <v>2021</v>
      </c>
      <c r="C41" s="234">
        <f>4000*0.8</f>
        <v>3200</v>
      </c>
      <c r="D41" s="234">
        <f>4000*1.2</f>
        <v>4800</v>
      </c>
      <c r="E41" s="349"/>
      <c r="F41" s="350"/>
      <c r="G41" s="343"/>
      <c r="H41" s="344"/>
      <c r="I41" s="2"/>
    </row>
    <row r="42" spans="1:9" x14ac:dyDescent="0.3">
      <c r="A42" s="413"/>
      <c r="B42" s="234">
        <v>2022</v>
      </c>
      <c r="C42" s="72">
        <f>1535*0.8</f>
        <v>1228</v>
      </c>
      <c r="D42" s="72">
        <f>1535*1.2</f>
        <v>1842</v>
      </c>
      <c r="E42" s="349"/>
      <c r="F42" s="350"/>
      <c r="G42" s="343"/>
      <c r="H42" s="344"/>
      <c r="I42" s="2"/>
    </row>
    <row r="43" spans="1:9" x14ac:dyDescent="0.3">
      <c r="A43" s="413"/>
      <c r="B43" s="249" t="s">
        <v>648</v>
      </c>
      <c r="C43" s="72">
        <f>SUM(C40:C42)</f>
        <v>6828</v>
      </c>
      <c r="D43" s="72">
        <f>SUM(D40:D42)</f>
        <v>10242</v>
      </c>
      <c r="E43" s="349"/>
      <c r="F43" s="350"/>
      <c r="G43" s="343"/>
      <c r="H43" s="344"/>
      <c r="I43" s="2"/>
    </row>
    <row r="44" spans="1:9" ht="72" customHeight="1" x14ac:dyDescent="0.3">
      <c r="A44" s="498" t="s">
        <v>600</v>
      </c>
      <c r="B44" s="498" t="s">
        <v>291</v>
      </c>
      <c r="C44" s="498" t="s">
        <v>700</v>
      </c>
      <c r="D44" s="498"/>
      <c r="E44" s="349"/>
      <c r="F44" s="350"/>
      <c r="G44" s="343"/>
      <c r="H44" s="344"/>
      <c r="I44" s="2"/>
    </row>
    <row r="45" spans="1:9" x14ac:dyDescent="0.3">
      <c r="A45" s="498"/>
      <c r="B45" s="498"/>
      <c r="C45" s="54" t="s">
        <v>613</v>
      </c>
      <c r="D45" s="54" t="s">
        <v>614</v>
      </c>
      <c r="E45" s="349"/>
      <c r="F45" s="350"/>
      <c r="G45" s="343"/>
      <c r="H45" s="344"/>
      <c r="I45" s="2"/>
    </row>
    <row r="46" spans="1:9" x14ac:dyDescent="0.3">
      <c r="A46" s="413" t="s">
        <v>663</v>
      </c>
      <c r="B46" s="255" t="s">
        <v>646</v>
      </c>
      <c r="C46" s="255">
        <v>6</v>
      </c>
      <c r="D46" s="255">
        <v>8</v>
      </c>
      <c r="E46" s="349"/>
      <c r="F46" s="350"/>
      <c r="G46" s="343"/>
      <c r="H46" s="344"/>
      <c r="I46" s="2"/>
    </row>
    <row r="47" spans="1:9" x14ac:dyDescent="0.3">
      <c r="A47" s="413"/>
      <c r="B47" s="255" t="s">
        <v>647</v>
      </c>
      <c r="C47" s="545">
        <v>7</v>
      </c>
      <c r="D47" s="545"/>
      <c r="E47" s="349"/>
      <c r="F47" s="350"/>
      <c r="G47" s="343"/>
      <c r="H47" s="344"/>
      <c r="I47" s="2"/>
    </row>
    <row r="48" spans="1:9" x14ac:dyDescent="0.3">
      <c r="A48" s="413"/>
      <c r="B48" s="255">
        <v>2020</v>
      </c>
      <c r="C48" s="255">
        <v>8</v>
      </c>
      <c r="D48" s="255">
        <v>12</v>
      </c>
      <c r="E48" s="349"/>
      <c r="F48" s="350"/>
      <c r="G48" s="343"/>
      <c r="H48" s="344"/>
      <c r="I48" s="2"/>
    </row>
    <row r="49" spans="1:9" x14ac:dyDescent="0.3">
      <c r="A49" s="413"/>
      <c r="B49" s="255">
        <v>2021</v>
      </c>
      <c r="C49" s="255">
        <v>8</v>
      </c>
      <c r="D49" s="255">
        <v>12</v>
      </c>
      <c r="E49" s="349"/>
      <c r="F49" s="350"/>
      <c r="G49" s="343"/>
      <c r="H49" s="344"/>
      <c r="I49" s="2"/>
    </row>
    <row r="50" spans="1:9" x14ac:dyDescent="0.3">
      <c r="A50" s="413"/>
      <c r="B50" s="255">
        <v>2022</v>
      </c>
      <c r="C50" s="255">
        <v>8</v>
      </c>
      <c r="D50" s="255">
        <v>12</v>
      </c>
      <c r="E50" s="349"/>
      <c r="F50" s="350"/>
      <c r="G50" s="343"/>
      <c r="H50" s="344"/>
      <c r="I50" s="2"/>
    </row>
    <row r="51" spans="1:9" x14ac:dyDescent="0.3">
      <c r="A51" s="413"/>
      <c r="B51" s="256" t="s">
        <v>648</v>
      </c>
      <c r="C51" s="255">
        <f>SUM(C48:C50)</f>
        <v>24</v>
      </c>
      <c r="D51" s="255">
        <f>SUM(D48:D50)</f>
        <v>36</v>
      </c>
      <c r="E51" s="351"/>
      <c r="F51" s="352"/>
      <c r="G51" s="345"/>
      <c r="H51" s="346"/>
      <c r="I51" s="2"/>
    </row>
    <row r="52" spans="1:9" ht="51.75" customHeight="1" x14ac:dyDescent="0.3">
      <c r="A52" s="539" t="s">
        <v>600</v>
      </c>
      <c r="B52" s="539" t="s">
        <v>291</v>
      </c>
      <c r="C52" s="539" t="s">
        <v>701</v>
      </c>
      <c r="D52" s="539"/>
      <c r="E52" s="349"/>
      <c r="F52" s="350"/>
      <c r="G52" s="343"/>
      <c r="H52" s="344"/>
      <c r="I52" s="2"/>
    </row>
    <row r="53" spans="1:9" x14ac:dyDescent="0.3">
      <c r="A53" s="498"/>
      <c r="B53" s="498"/>
      <c r="C53" s="54" t="s">
        <v>613</v>
      </c>
      <c r="D53" s="54" t="s">
        <v>614</v>
      </c>
      <c r="E53" s="349"/>
      <c r="F53" s="350"/>
      <c r="G53" s="343"/>
      <c r="H53" s="344"/>
      <c r="I53" s="2"/>
    </row>
    <row r="54" spans="1:9" x14ac:dyDescent="0.3">
      <c r="A54" s="413" t="s">
        <v>702</v>
      </c>
      <c r="B54" s="236" t="s">
        <v>646</v>
      </c>
      <c r="C54" s="236">
        <v>400</v>
      </c>
      <c r="D54" s="236">
        <v>600</v>
      </c>
      <c r="E54" s="349"/>
      <c r="F54" s="350"/>
      <c r="G54" s="343"/>
      <c r="H54" s="344"/>
      <c r="I54" s="2"/>
    </row>
    <row r="55" spans="1:9" x14ac:dyDescent="0.3">
      <c r="A55" s="413"/>
      <c r="B55" s="236" t="s">
        <v>647</v>
      </c>
      <c r="C55" s="545">
        <v>660</v>
      </c>
      <c r="D55" s="545"/>
      <c r="E55" s="349"/>
      <c r="F55" s="350"/>
      <c r="G55" s="343"/>
      <c r="H55" s="344"/>
      <c r="I55" s="2"/>
    </row>
    <row r="56" spans="1:9" x14ac:dyDescent="0.3">
      <c r="A56" s="413"/>
      <c r="B56" s="236">
        <v>2020</v>
      </c>
      <c r="C56" s="236">
        <v>1320</v>
      </c>
      <c r="D56" s="236">
        <v>1980</v>
      </c>
      <c r="E56" s="349"/>
      <c r="F56" s="350"/>
      <c r="G56" s="343"/>
      <c r="H56" s="344"/>
      <c r="I56" s="2"/>
    </row>
    <row r="57" spans="1:9" x14ac:dyDescent="0.3">
      <c r="A57" s="413"/>
      <c r="B57" s="236">
        <v>2021</v>
      </c>
      <c r="C57" s="236">
        <v>1320</v>
      </c>
      <c r="D57" s="236">
        <v>1980</v>
      </c>
      <c r="E57" s="349"/>
      <c r="F57" s="350"/>
      <c r="G57" s="343"/>
      <c r="H57" s="344"/>
      <c r="I57" s="2"/>
    </row>
    <row r="58" spans="1:9" x14ac:dyDescent="0.3">
      <c r="A58" s="413"/>
      <c r="B58" s="236">
        <v>2022</v>
      </c>
      <c r="C58" s="236">
        <v>1320</v>
      </c>
      <c r="D58" s="236">
        <v>1980</v>
      </c>
      <c r="E58" s="349"/>
      <c r="F58" s="350"/>
      <c r="G58" s="343"/>
      <c r="H58" s="344"/>
      <c r="I58" s="2"/>
    </row>
    <row r="59" spans="1:9" x14ac:dyDescent="0.3">
      <c r="A59" s="413"/>
      <c r="B59" s="238" t="s">
        <v>648</v>
      </c>
      <c r="C59" s="236">
        <f>SUM(C56:C58)</f>
        <v>3960</v>
      </c>
      <c r="D59" s="236">
        <f>SUM(D56:D58)</f>
        <v>5940</v>
      </c>
      <c r="E59" s="351"/>
      <c r="F59" s="352"/>
      <c r="G59" s="343"/>
      <c r="H59" s="344"/>
      <c r="I59" s="2"/>
    </row>
    <row r="60" spans="1:9" ht="45.75" customHeight="1" x14ac:dyDescent="0.3">
      <c r="A60" s="498" t="s">
        <v>600</v>
      </c>
      <c r="B60" s="498" t="s">
        <v>291</v>
      </c>
      <c r="C60" s="498" t="s">
        <v>703</v>
      </c>
      <c r="D60" s="498"/>
      <c r="E60" s="498" t="s">
        <v>33</v>
      </c>
      <c r="F60" s="498"/>
      <c r="G60" s="343"/>
      <c r="H60" s="344"/>
      <c r="I60" s="2"/>
    </row>
    <row r="61" spans="1:9" x14ac:dyDescent="0.3">
      <c r="A61" s="498"/>
      <c r="B61" s="498"/>
      <c r="C61" s="54" t="s">
        <v>613</v>
      </c>
      <c r="D61" s="54" t="s">
        <v>614</v>
      </c>
      <c r="E61" s="498"/>
      <c r="F61" s="498"/>
      <c r="G61" s="343"/>
      <c r="H61" s="344"/>
      <c r="I61" s="2"/>
    </row>
    <row r="62" spans="1:9" ht="14.4" customHeight="1" x14ac:dyDescent="0.3">
      <c r="A62" s="413" t="s">
        <v>704</v>
      </c>
      <c r="B62" s="236" t="s">
        <v>646</v>
      </c>
      <c r="C62" s="236">
        <v>0</v>
      </c>
      <c r="D62" s="236">
        <v>1</v>
      </c>
      <c r="E62" s="546" t="s">
        <v>705</v>
      </c>
      <c r="F62" s="546"/>
      <c r="G62" s="343"/>
      <c r="H62" s="344"/>
      <c r="I62" s="2"/>
    </row>
    <row r="63" spans="1:9" ht="14.4" customHeight="1" x14ac:dyDescent="0.3">
      <c r="A63" s="413"/>
      <c r="B63" s="236" t="s">
        <v>647</v>
      </c>
      <c r="C63" s="545" t="s">
        <v>706</v>
      </c>
      <c r="D63" s="545"/>
      <c r="E63" s="546"/>
      <c r="F63" s="546"/>
      <c r="G63" s="343"/>
      <c r="H63" s="344"/>
      <c r="I63" s="2"/>
    </row>
    <row r="64" spans="1:9" ht="14.4" customHeight="1" x14ac:dyDescent="0.3">
      <c r="A64" s="413"/>
      <c r="B64" s="236">
        <v>2020</v>
      </c>
      <c r="C64" s="236">
        <v>2</v>
      </c>
      <c r="D64" s="236">
        <v>4</v>
      </c>
      <c r="E64" s="546"/>
      <c r="F64" s="546"/>
      <c r="G64" s="343"/>
      <c r="H64" s="344"/>
      <c r="I64" s="2"/>
    </row>
    <row r="65" spans="1:9" ht="14.4" customHeight="1" x14ac:dyDescent="0.3">
      <c r="A65" s="413"/>
      <c r="B65" s="236">
        <v>2021</v>
      </c>
      <c r="C65" s="236">
        <v>2</v>
      </c>
      <c r="D65" s="236">
        <v>4</v>
      </c>
      <c r="E65" s="546"/>
      <c r="F65" s="546"/>
      <c r="G65" s="343"/>
      <c r="H65" s="344"/>
      <c r="I65" s="2"/>
    </row>
    <row r="66" spans="1:9" ht="14.4" customHeight="1" x14ac:dyDescent="0.3">
      <c r="A66" s="413"/>
      <c r="B66" s="236">
        <v>2022</v>
      </c>
      <c r="C66" s="236">
        <v>0</v>
      </c>
      <c r="D66" s="236">
        <v>2</v>
      </c>
      <c r="E66" s="546"/>
      <c r="F66" s="546"/>
      <c r="G66" s="343"/>
      <c r="H66" s="344"/>
      <c r="I66" s="2"/>
    </row>
    <row r="67" spans="1:9" ht="14.4" customHeight="1" x14ac:dyDescent="0.3">
      <c r="A67" s="410"/>
      <c r="B67" s="239" t="s">
        <v>648</v>
      </c>
      <c r="C67" s="203">
        <f>SUM(C64:C66)</f>
        <v>4</v>
      </c>
      <c r="D67" s="203">
        <f>SUM(D64:D66)</f>
        <v>10</v>
      </c>
      <c r="E67" s="547"/>
      <c r="F67" s="547"/>
      <c r="G67" s="343"/>
      <c r="H67" s="344"/>
      <c r="I67" s="2"/>
    </row>
    <row r="68" spans="1:9" ht="67.5" customHeight="1" x14ac:dyDescent="0.3">
      <c r="A68" s="498" t="s">
        <v>600</v>
      </c>
      <c r="B68" s="498" t="s">
        <v>291</v>
      </c>
      <c r="C68" s="498" t="s">
        <v>707</v>
      </c>
      <c r="D68" s="498"/>
      <c r="E68" s="498" t="s">
        <v>708</v>
      </c>
      <c r="F68" s="498"/>
      <c r="G68" s="498" t="s">
        <v>709</v>
      </c>
      <c r="H68" s="498"/>
      <c r="I68" s="2"/>
    </row>
    <row r="69" spans="1:9" x14ac:dyDescent="0.3">
      <c r="A69" s="498"/>
      <c r="B69" s="498"/>
      <c r="C69" s="54" t="s">
        <v>613</v>
      </c>
      <c r="D69" s="54" t="s">
        <v>614</v>
      </c>
      <c r="E69" s="54" t="s">
        <v>613</v>
      </c>
      <c r="F69" s="54" t="s">
        <v>614</v>
      </c>
      <c r="G69" s="54" t="s">
        <v>613</v>
      </c>
      <c r="H69" s="54" t="s">
        <v>614</v>
      </c>
      <c r="I69" s="2"/>
    </row>
    <row r="70" spans="1:9" x14ac:dyDescent="0.3">
      <c r="A70" s="413" t="s">
        <v>668</v>
      </c>
      <c r="B70" s="255" t="s">
        <v>646</v>
      </c>
      <c r="C70" s="255">
        <v>50</v>
      </c>
      <c r="D70" s="255">
        <v>80</v>
      </c>
      <c r="E70" s="255">
        <v>8</v>
      </c>
      <c r="F70" s="255">
        <v>11</v>
      </c>
      <c r="G70" s="255" t="s">
        <v>26</v>
      </c>
      <c r="H70" s="255" t="s">
        <v>26</v>
      </c>
      <c r="I70" s="2"/>
    </row>
    <row r="71" spans="1:9" x14ac:dyDescent="0.3">
      <c r="A71" s="413"/>
      <c r="B71" s="255" t="s">
        <v>647</v>
      </c>
      <c r="C71" s="545">
        <v>65</v>
      </c>
      <c r="D71" s="545"/>
      <c r="E71" s="545">
        <v>8</v>
      </c>
      <c r="F71" s="545"/>
      <c r="G71" s="545" t="s">
        <v>26</v>
      </c>
      <c r="H71" s="545"/>
      <c r="I71" s="2"/>
    </row>
    <row r="72" spans="1:9" x14ac:dyDescent="0.3">
      <c r="A72" s="413"/>
      <c r="B72" s="255">
        <v>2020</v>
      </c>
      <c r="C72" s="255">
        <v>1000</v>
      </c>
      <c r="D72" s="255">
        <v>1500</v>
      </c>
      <c r="E72" s="255">
        <v>8</v>
      </c>
      <c r="F72" s="255">
        <v>10</v>
      </c>
      <c r="G72" s="255">
        <v>3</v>
      </c>
      <c r="H72" s="255">
        <v>5</v>
      </c>
      <c r="I72" s="2"/>
    </row>
    <row r="73" spans="1:9" x14ac:dyDescent="0.3">
      <c r="A73" s="413"/>
      <c r="B73" s="255">
        <v>2021</v>
      </c>
      <c r="C73" s="255">
        <v>1200</v>
      </c>
      <c r="D73" s="255">
        <v>1800</v>
      </c>
      <c r="E73" s="255">
        <v>10</v>
      </c>
      <c r="F73" s="255">
        <v>12</v>
      </c>
      <c r="G73" s="255">
        <v>3</v>
      </c>
      <c r="H73" s="255">
        <v>5</v>
      </c>
      <c r="I73" s="2"/>
    </row>
    <row r="74" spans="1:9" x14ac:dyDescent="0.3">
      <c r="A74" s="413"/>
      <c r="B74" s="255">
        <v>2022</v>
      </c>
      <c r="C74" s="255">
        <v>1600</v>
      </c>
      <c r="D74" s="255">
        <v>2160</v>
      </c>
      <c r="E74" s="255">
        <v>10</v>
      </c>
      <c r="F74" s="255">
        <v>14</v>
      </c>
      <c r="G74" s="255">
        <v>3</v>
      </c>
      <c r="H74" s="255">
        <v>5</v>
      </c>
      <c r="I74" s="2"/>
    </row>
    <row r="75" spans="1:9" x14ac:dyDescent="0.3">
      <c r="A75" s="413"/>
      <c r="B75" s="256" t="s">
        <v>648</v>
      </c>
      <c r="C75" s="255">
        <f t="shared" ref="C75:H75" si="0">SUM(C72:C74)</f>
        <v>3800</v>
      </c>
      <c r="D75" s="255">
        <f t="shared" si="0"/>
        <v>5460</v>
      </c>
      <c r="E75" s="255">
        <f t="shared" si="0"/>
        <v>28</v>
      </c>
      <c r="F75" s="255">
        <f t="shared" si="0"/>
        <v>36</v>
      </c>
      <c r="G75" s="255">
        <f t="shared" si="0"/>
        <v>9</v>
      </c>
      <c r="H75" s="255">
        <f t="shared" si="0"/>
        <v>15</v>
      </c>
      <c r="I75" s="2"/>
    </row>
    <row r="76" spans="1:9" ht="56.25" customHeight="1" x14ac:dyDescent="0.3">
      <c r="A76" s="539" t="s">
        <v>600</v>
      </c>
      <c r="B76" s="539" t="s">
        <v>291</v>
      </c>
      <c r="C76" s="539" t="s">
        <v>707</v>
      </c>
      <c r="D76" s="548"/>
      <c r="E76" s="353"/>
      <c r="F76" s="354"/>
      <c r="G76" s="354"/>
      <c r="H76" s="355"/>
      <c r="I76" s="2"/>
    </row>
    <row r="77" spans="1:9" x14ac:dyDescent="0.3">
      <c r="A77" s="498"/>
      <c r="B77" s="498"/>
      <c r="C77" s="54" t="s">
        <v>613</v>
      </c>
      <c r="D77" s="205" t="s">
        <v>614</v>
      </c>
      <c r="E77" s="353"/>
      <c r="F77" s="354"/>
      <c r="G77" s="354"/>
      <c r="H77" s="355"/>
      <c r="I77" s="2"/>
    </row>
    <row r="78" spans="1:9" x14ac:dyDescent="0.3">
      <c r="A78" s="413" t="s">
        <v>710</v>
      </c>
      <c r="B78" s="236" t="s">
        <v>646</v>
      </c>
      <c r="C78" s="236" t="s">
        <v>26</v>
      </c>
      <c r="D78" s="237" t="s">
        <v>26</v>
      </c>
      <c r="E78" s="353"/>
      <c r="F78" s="354"/>
      <c r="G78" s="354"/>
      <c r="H78" s="355"/>
      <c r="I78" s="2"/>
    </row>
    <row r="79" spans="1:9" x14ac:dyDescent="0.3">
      <c r="A79" s="413"/>
      <c r="B79" s="236" t="s">
        <v>647</v>
      </c>
      <c r="C79" s="545" t="s">
        <v>26</v>
      </c>
      <c r="D79" s="549"/>
      <c r="E79" s="353"/>
      <c r="F79" s="354"/>
      <c r="G79" s="354"/>
      <c r="H79" s="355"/>
      <c r="I79" s="2"/>
    </row>
    <row r="80" spans="1:9" x14ac:dyDescent="0.3">
      <c r="A80" s="413"/>
      <c r="B80" s="236">
        <v>2020</v>
      </c>
      <c r="C80" s="236">
        <f>130*0.8</f>
        <v>104</v>
      </c>
      <c r="D80" s="237">
        <f>130*1.2</f>
        <v>156</v>
      </c>
      <c r="E80" s="353"/>
      <c r="F80" s="354"/>
      <c r="G80" s="354"/>
      <c r="H80" s="355"/>
      <c r="I80" s="2"/>
    </row>
    <row r="81" spans="1:9" x14ac:dyDescent="0.3">
      <c r="A81" s="413"/>
      <c r="B81" s="236">
        <v>2021</v>
      </c>
      <c r="C81" s="236">
        <f>130*0.8</f>
        <v>104</v>
      </c>
      <c r="D81" s="237">
        <f>130*1.2</f>
        <v>156</v>
      </c>
      <c r="E81" s="353"/>
      <c r="F81" s="354"/>
      <c r="G81" s="354"/>
      <c r="H81" s="355"/>
      <c r="I81" s="2"/>
    </row>
    <row r="82" spans="1:9" x14ac:dyDescent="0.3">
      <c r="A82" s="413"/>
      <c r="B82" s="236">
        <v>2022</v>
      </c>
      <c r="C82" s="236">
        <f>130*0.8</f>
        <v>104</v>
      </c>
      <c r="D82" s="237">
        <f>130*1.2</f>
        <v>156</v>
      </c>
      <c r="E82" s="353"/>
      <c r="F82" s="354"/>
      <c r="G82" s="354"/>
      <c r="H82" s="355"/>
      <c r="I82" s="2"/>
    </row>
    <row r="83" spans="1:9" x14ac:dyDescent="0.3">
      <c r="A83" s="413"/>
      <c r="B83" s="238" t="s">
        <v>648</v>
      </c>
      <c r="C83" s="236">
        <f>SUM(C80:C82)</f>
        <v>312</v>
      </c>
      <c r="D83" s="237">
        <f>SUM(D80:D82)</f>
        <v>468</v>
      </c>
      <c r="E83" s="353"/>
      <c r="F83" s="354"/>
      <c r="G83" s="354"/>
      <c r="H83" s="355"/>
      <c r="I83" s="2"/>
    </row>
    <row r="84" spans="1:9" ht="57" customHeight="1" x14ac:dyDescent="0.3">
      <c r="A84" s="498" t="s">
        <v>600</v>
      </c>
      <c r="B84" s="498" t="s">
        <v>291</v>
      </c>
      <c r="C84" s="498" t="s">
        <v>707</v>
      </c>
      <c r="D84" s="550"/>
      <c r="E84" s="353"/>
      <c r="F84" s="354"/>
      <c r="G84" s="354"/>
      <c r="H84" s="355"/>
      <c r="I84" s="2"/>
    </row>
    <row r="85" spans="1:9" x14ac:dyDescent="0.3">
      <c r="A85" s="498"/>
      <c r="B85" s="498"/>
      <c r="C85" s="54" t="s">
        <v>613</v>
      </c>
      <c r="D85" s="205" t="s">
        <v>614</v>
      </c>
      <c r="E85" s="353"/>
      <c r="F85" s="354"/>
      <c r="G85" s="354"/>
      <c r="H85" s="355"/>
      <c r="I85" s="2"/>
    </row>
    <row r="86" spans="1:9" x14ac:dyDescent="0.3">
      <c r="A86" s="413" t="s">
        <v>711</v>
      </c>
      <c r="B86" s="255" t="s">
        <v>646</v>
      </c>
      <c r="C86" s="255" t="s">
        <v>26</v>
      </c>
      <c r="D86" s="257" t="s">
        <v>26</v>
      </c>
      <c r="E86" s="353"/>
      <c r="F86" s="354"/>
      <c r="G86" s="354"/>
      <c r="H86" s="355"/>
      <c r="I86" s="2"/>
    </row>
    <row r="87" spans="1:9" x14ac:dyDescent="0.3">
      <c r="A87" s="413"/>
      <c r="B87" s="255" t="s">
        <v>647</v>
      </c>
      <c r="C87" s="545" t="s">
        <v>26</v>
      </c>
      <c r="D87" s="549"/>
      <c r="E87" s="353"/>
      <c r="F87" s="354"/>
      <c r="G87" s="354"/>
      <c r="H87" s="355"/>
      <c r="I87" s="2"/>
    </row>
    <row r="88" spans="1:9" x14ac:dyDescent="0.3">
      <c r="A88" s="413"/>
      <c r="B88" s="255">
        <v>2020</v>
      </c>
      <c r="C88" s="255">
        <f>300*0.8</f>
        <v>240</v>
      </c>
      <c r="D88" s="257">
        <v>360</v>
      </c>
      <c r="E88" s="353"/>
      <c r="F88" s="354"/>
      <c r="G88" s="354"/>
      <c r="H88" s="355"/>
      <c r="I88" s="2"/>
    </row>
    <row r="89" spans="1:9" x14ac:dyDescent="0.3">
      <c r="A89" s="413"/>
      <c r="B89" s="255">
        <v>2021</v>
      </c>
      <c r="C89" s="255">
        <f>300*0.8</f>
        <v>240</v>
      </c>
      <c r="D89" s="257">
        <v>360</v>
      </c>
      <c r="E89" s="353"/>
      <c r="F89" s="354"/>
      <c r="G89" s="354"/>
      <c r="H89" s="355"/>
      <c r="I89" s="2"/>
    </row>
    <row r="90" spans="1:9" x14ac:dyDescent="0.3">
      <c r="A90" s="413"/>
      <c r="B90" s="255">
        <v>2022</v>
      </c>
      <c r="C90" s="255">
        <f>300*0.8</f>
        <v>240</v>
      </c>
      <c r="D90" s="257">
        <v>360</v>
      </c>
      <c r="E90" s="353"/>
      <c r="F90" s="354"/>
      <c r="G90" s="354"/>
      <c r="H90" s="355"/>
      <c r="I90" s="2"/>
    </row>
    <row r="91" spans="1:9" x14ac:dyDescent="0.3">
      <c r="A91" s="413"/>
      <c r="B91" s="256" t="s">
        <v>648</v>
      </c>
      <c r="C91" s="255">
        <f>SUM(C88:C90)</f>
        <v>720</v>
      </c>
      <c r="D91" s="257">
        <f>SUM(D88:D90)</f>
        <v>1080</v>
      </c>
      <c r="E91" s="356"/>
      <c r="F91" s="357"/>
      <c r="G91" s="357"/>
      <c r="H91" s="358"/>
      <c r="I91" s="2"/>
    </row>
    <row r="92" spans="1:9" ht="63.75" customHeight="1" x14ac:dyDescent="0.3">
      <c r="A92" s="539" t="s">
        <v>600</v>
      </c>
      <c r="B92" s="539" t="s">
        <v>291</v>
      </c>
      <c r="C92" s="539" t="s">
        <v>712</v>
      </c>
      <c r="D92" s="548"/>
      <c r="E92" s="353"/>
      <c r="F92" s="354"/>
      <c r="G92" s="354"/>
      <c r="H92" s="355"/>
      <c r="I92" s="2"/>
    </row>
    <row r="93" spans="1:9" x14ac:dyDescent="0.3">
      <c r="A93" s="498"/>
      <c r="B93" s="498"/>
      <c r="C93" s="54" t="s">
        <v>613</v>
      </c>
      <c r="D93" s="205" t="s">
        <v>614</v>
      </c>
      <c r="E93" s="353"/>
      <c r="F93" s="354"/>
      <c r="G93" s="354"/>
      <c r="H93" s="355"/>
      <c r="I93" s="2"/>
    </row>
    <row r="94" spans="1:9" x14ac:dyDescent="0.3">
      <c r="A94" s="413" t="s">
        <v>685</v>
      </c>
      <c r="B94" s="236" t="s">
        <v>646</v>
      </c>
      <c r="C94" s="236" t="s">
        <v>26</v>
      </c>
      <c r="D94" s="237" t="s">
        <v>26</v>
      </c>
      <c r="E94" s="353"/>
      <c r="F94" s="354"/>
      <c r="G94" s="354"/>
      <c r="H94" s="355"/>
      <c r="I94" s="2"/>
    </row>
    <row r="95" spans="1:9" x14ac:dyDescent="0.3">
      <c r="A95" s="413"/>
      <c r="B95" s="236" t="s">
        <v>647</v>
      </c>
      <c r="C95" s="545" t="s">
        <v>26</v>
      </c>
      <c r="D95" s="549"/>
      <c r="E95" s="353"/>
      <c r="F95" s="354"/>
      <c r="G95" s="354"/>
      <c r="H95" s="355"/>
      <c r="I95" s="2"/>
    </row>
    <row r="96" spans="1:9" x14ac:dyDescent="0.3">
      <c r="A96" s="413"/>
      <c r="B96" s="236">
        <v>2020</v>
      </c>
      <c r="C96" s="236">
        <v>0</v>
      </c>
      <c r="D96" s="237">
        <v>0</v>
      </c>
      <c r="E96" s="353"/>
      <c r="F96" s="354"/>
      <c r="G96" s="354"/>
      <c r="H96" s="355"/>
      <c r="I96" s="2"/>
    </row>
    <row r="97" spans="1:9" x14ac:dyDescent="0.3">
      <c r="A97" s="413"/>
      <c r="B97" s="236">
        <v>2021</v>
      </c>
      <c r="C97" s="236">
        <v>836</v>
      </c>
      <c r="D97" s="237">
        <v>1012</v>
      </c>
      <c r="E97" s="353"/>
      <c r="F97" s="354"/>
      <c r="G97" s="354"/>
      <c r="H97" s="355"/>
      <c r="I97" s="2"/>
    </row>
    <row r="98" spans="1:9" x14ac:dyDescent="0.3">
      <c r="A98" s="413"/>
      <c r="B98" s="236">
        <v>2022</v>
      </c>
      <c r="C98" s="236">
        <v>1672</v>
      </c>
      <c r="D98" s="237">
        <v>2024</v>
      </c>
      <c r="E98" s="353"/>
      <c r="F98" s="354"/>
      <c r="G98" s="354"/>
      <c r="H98" s="355"/>
      <c r="I98" s="2"/>
    </row>
    <row r="99" spans="1:9" x14ac:dyDescent="0.3">
      <c r="A99" s="413"/>
      <c r="B99" s="238" t="s">
        <v>648</v>
      </c>
      <c r="C99" s="236">
        <f>SUM(C96:C98)</f>
        <v>2508</v>
      </c>
      <c r="D99" s="237">
        <f>SUM(D96:D98)</f>
        <v>3036</v>
      </c>
      <c r="E99" s="353"/>
      <c r="F99" s="354"/>
      <c r="G99" s="354"/>
      <c r="H99" s="355"/>
      <c r="I99" s="2"/>
    </row>
    <row r="100" spans="1:9" ht="48" customHeight="1" x14ac:dyDescent="0.3">
      <c r="A100" s="498" t="s">
        <v>600</v>
      </c>
      <c r="B100" s="498" t="s">
        <v>291</v>
      </c>
      <c r="C100" s="498" t="s">
        <v>713</v>
      </c>
      <c r="D100" s="550"/>
      <c r="E100" s="353"/>
      <c r="F100" s="354"/>
      <c r="G100" s="354"/>
      <c r="H100" s="355"/>
      <c r="I100" s="2"/>
    </row>
    <row r="101" spans="1:9" x14ac:dyDescent="0.3">
      <c r="A101" s="498"/>
      <c r="B101" s="498"/>
      <c r="C101" s="54" t="s">
        <v>613</v>
      </c>
      <c r="D101" s="205" t="s">
        <v>614</v>
      </c>
      <c r="E101" s="353"/>
      <c r="F101" s="354"/>
      <c r="G101" s="354"/>
      <c r="H101" s="355"/>
      <c r="I101" s="2"/>
    </row>
    <row r="102" spans="1:9" x14ac:dyDescent="0.3">
      <c r="A102" s="413" t="s">
        <v>686</v>
      </c>
      <c r="B102" s="255" t="s">
        <v>646</v>
      </c>
      <c r="C102" s="551" t="s">
        <v>26</v>
      </c>
      <c r="D102" s="552"/>
      <c r="E102" s="353"/>
      <c r="F102" s="354"/>
      <c r="G102" s="354"/>
      <c r="H102" s="355"/>
      <c r="I102" s="2"/>
    </row>
    <row r="103" spans="1:9" x14ac:dyDescent="0.3">
      <c r="A103" s="413"/>
      <c r="B103" s="255" t="s">
        <v>647</v>
      </c>
      <c r="C103" s="553"/>
      <c r="D103" s="554"/>
      <c r="E103" s="353"/>
      <c r="F103" s="354"/>
      <c r="G103" s="354"/>
      <c r="H103" s="355"/>
      <c r="I103" s="2"/>
    </row>
    <row r="104" spans="1:9" x14ac:dyDescent="0.3">
      <c r="A104" s="413"/>
      <c r="B104" s="255">
        <v>2020</v>
      </c>
      <c r="C104" s="255">
        <f>25*0.8</f>
        <v>20</v>
      </c>
      <c r="D104" s="257">
        <f>25*1.2</f>
        <v>30</v>
      </c>
      <c r="E104" s="353"/>
      <c r="F104" s="354"/>
      <c r="G104" s="354"/>
      <c r="H104" s="355"/>
      <c r="I104" s="2"/>
    </row>
    <row r="105" spans="1:9" x14ac:dyDescent="0.3">
      <c r="A105" s="413"/>
      <c r="B105" s="255">
        <v>2021</v>
      </c>
      <c r="C105" s="255">
        <f>65*0.8</f>
        <v>52</v>
      </c>
      <c r="D105" s="257">
        <f>65*1.2</f>
        <v>78</v>
      </c>
      <c r="E105" s="353"/>
      <c r="F105" s="354"/>
      <c r="G105" s="354"/>
      <c r="H105" s="355"/>
      <c r="I105" s="2"/>
    </row>
    <row r="106" spans="1:9" x14ac:dyDescent="0.3">
      <c r="A106" s="413"/>
      <c r="B106" s="255">
        <v>2022</v>
      </c>
      <c r="C106" s="255">
        <f>85*0.8</f>
        <v>68</v>
      </c>
      <c r="D106" s="257">
        <f>85*1.2</f>
        <v>102</v>
      </c>
      <c r="E106" s="353"/>
      <c r="F106" s="354"/>
      <c r="G106" s="354"/>
      <c r="H106" s="355"/>
      <c r="I106" s="2"/>
    </row>
    <row r="107" spans="1:9" x14ac:dyDescent="0.3">
      <c r="A107" s="413"/>
      <c r="B107" s="256" t="s">
        <v>648</v>
      </c>
      <c r="C107" s="255">
        <f>SUM(C104:C106)</f>
        <v>140</v>
      </c>
      <c r="D107" s="257">
        <f>SUM(D104:D106)</f>
        <v>210</v>
      </c>
      <c r="E107" s="356"/>
      <c r="F107" s="357"/>
      <c r="G107" s="357"/>
      <c r="H107" s="358"/>
      <c r="I107" s="2"/>
    </row>
  </sheetData>
  <mergeCells count="82">
    <mergeCell ref="G68:H68"/>
    <mergeCell ref="A70:A75"/>
    <mergeCell ref="C71:D71"/>
    <mergeCell ref="E71:F71"/>
    <mergeCell ref="G71:H71"/>
    <mergeCell ref="A102:A107"/>
    <mergeCell ref="C102:D103"/>
    <mergeCell ref="A92:A93"/>
    <mergeCell ref="B92:B93"/>
    <mergeCell ref="C92:D92"/>
    <mergeCell ref="A94:A99"/>
    <mergeCell ref="C95:D95"/>
    <mergeCell ref="A100:A101"/>
    <mergeCell ref="B100:B101"/>
    <mergeCell ref="C100:D100"/>
    <mergeCell ref="A84:A85"/>
    <mergeCell ref="B84:B85"/>
    <mergeCell ref="C84:D84"/>
    <mergeCell ref="A86:A91"/>
    <mergeCell ref="C87:D87"/>
    <mergeCell ref="A76:A77"/>
    <mergeCell ref="B76:B77"/>
    <mergeCell ref="C76:D76"/>
    <mergeCell ref="A78:A83"/>
    <mergeCell ref="C79:D79"/>
    <mergeCell ref="E60:F61"/>
    <mergeCell ref="A62:A67"/>
    <mergeCell ref="E62:F67"/>
    <mergeCell ref="C63:D63"/>
    <mergeCell ref="A68:A69"/>
    <mergeCell ref="B68:B69"/>
    <mergeCell ref="C68:D68"/>
    <mergeCell ref="E68:F68"/>
    <mergeCell ref="A60:A61"/>
    <mergeCell ref="B60:B61"/>
    <mergeCell ref="C60:D60"/>
    <mergeCell ref="A52:A53"/>
    <mergeCell ref="B52:B53"/>
    <mergeCell ref="C52:D52"/>
    <mergeCell ref="A54:A59"/>
    <mergeCell ref="C55:D55"/>
    <mergeCell ref="A46:A51"/>
    <mergeCell ref="C47:D47"/>
    <mergeCell ref="E27:F27"/>
    <mergeCell ref="A28:A29"/>
    <mergeCell ref="B28:B29"/>
    <mergeCell ref="C28:D28"/>
    <mergeCell ref="A30:A35"/>
    <mergeCell ref="C31:D31"/>
    <mergeCell ref="A36:A37"/>
    <mergeCell ref="B36:B37"/>
    <mergeCell ref="C36:D36"/>
    <mergeCell ref="A38:A43"/>
    <mergeCell ref="C39:D39"/>
    <mergeCell ref="A44:A45"/>
    <mergeCell ref="B44:B45"/>
    <mergeCell ref="C44:D44"/>
    <mergeCell ref="A18:B19"/>
    <mergeCell ref="C18:D18"/>
    <mergeCell ref="E18:F18"/>
    <mergeCell ref="A20:A23"/>
    <mergeCell ref="A24:A27"/>
    <mergeCell ref="C24:D24"/>
    <mergeCell ref="E24:F24"/>
    <mergeCell ref="C25:D25"/>
    <mergeCell ref="E25:F25"/>
    <mergeCell ref="C26:D26"/>
    <mergeCell ref="E26:F26"/>
    <mergeCell ref="C27:D27"/>
    <mergeCell ref="A10:A11"/>
    <mergeCell ref="B10:B11"/>
    <mergeCell ref="C10:D10"/>
    <mergeCell ref="E10:F10"/>
    <mergeCell ref="A12:A17"/>
    <mergeCell ref="E12:F13"/>
    <mergeCell ref="C13:D13"/>
    <mergeCell ref="A1:H1"/>
    <mergeCell ref="A2:A3"/>
    <mergeCell ref="B2:B3"/>
    <mergeCell ref="C2:D2"/>
    <mergeCell ref="A4:A9"/>
    <mergeCell ref="C5:D5"/>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4" manualBreakCount="4">
    <brk id="17" max="7" man="1"/>
    <brk id="35" max="7" man="1"/>
    <brk id="51" max="7" man="1"/>
    <brk id="91"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0EF0-77CB-4556-9566-F3FE3118341B}">
  <dimension ref="A1:U57"/>
  <sheetViews>
    <sheetView view="pageLayout" topLeftCell="A37" zoomScale="90" zoomScaleNormal="100" zoomScaleSheetLayoutView="100" zoomScalePageLayoutView="90" workbookViewId="0">
      <selection activeCell="G37" sqref="G37"/>
    </sheetView>
  </sheetViews>
  <sheetFormatPr defaultRowHeight="14.4" x14ac:dyDescent="0.3"/>
  <cols>
    <col min="1" max="1" width="15.109375" customWidth="1"/>
    <col min="2" max="2" width="13.6640625" customWidth="1"/>
    <col min="3" max="4" width="8" customWidth="1"/>
    <col min="5" max="5" width="5.88671875" customWidth="1"/>
    <col min="6" max="6" width="6.44140625" customWidth="1"/>
    <col min="7" max="7" width="8.5546875" customWidth="1"/>
    <col min="8" max="8" width="11.109375" customWidth="1"/>
    <col min="9" max="9" width="6.44140625" customWidth="1"/>
    <col min="10" max="10" width="6.33203125" customWidth="1"/>
    <col min="11" max="11" width="8.88671875" customWidth="1"/>
    <col min="12" max="12" width="7.88671875" customWidth="1"/>
    <col min="13" max="13" width="11.6640625" customWidth="1"/>
    <col min="14" max="14" width="8.109375" customWidth="1"/>
    <col min="15" max="15" width="10.88671875" customWidth="1"/>
    <col min="16" max="16" width="13.109375" bestFit="1" customWidth="1"/>
    <col min="17" max="17" width="18.33203125" customWidth="1"/>
  </cols>
  <sheetData>
    <row r="1" spans="1:17" ht="18" x14ac:dyDescent="0.35">
      <c r="A1" s="414" t="s">
        <v>714</v>
      </c>
      <c r="B1" s="415"/>
      <c r="C1" s="415"/>
      <c r="D1" s="415"/>
      <c r="E1" s="415"/>
      <c r="F1" s="415"/>
      <c r="G1" s="415"/>
      <c r="H1" s="415"/>
      <c r="I1" s="415"/>
      <c r="J1" s="415"/>
      <c r="K1" s="415"/>
      <c r="L1" s="415"/>
      <c r="M1" s="415"/>
      <c r="N1" s="415"/>
      <c r="O1" s="415"/>
      <c r="P1" s="415"/>
      <c r="Q1" s="416"/>
    </row>
    <row r="2" spans="1:17" ht="60.6" customHeight="1" x14ac:dyDescent="0.3">
      <c r="A2" s="498" t="s">
        <v>600</v>
      </c>
      <c r="B2" s="498" t="s">
        <v>291</v>
      </c>
      <c r="C2" s="498" t="s">
        <v>601</v>
      </c>
      <c r="D2" s="498"/>
      <c r="E2" s="498" t="s">
        <v>602</v>
      </c>
      <c r="F2" s="498"/>
      <c r="G2" s="498" t="s">
        <v>603</v>
      </c>
      <c r="H2" s="498" t="s">
        <v>604</v>
      </c>
      <c r="I2" s="498" t="s">
        <v>605</v>
      </c>
      <c r="J2" s="498" t="s">
        <v>606</v>
      </c>
      <c r="K2" s="498" t="s">
        <v>607</v>
      </c>
      <c r="L2" s="498" t="s">
        <v>608</v>
      </c>
      <c r="M2" s="498" t="s">
        <v>609</v>
      </c>
      <c r="N2" s="498" t="s">
        <v>610</v>
      </c>
      <c r="O2" s="498" t="s">
        <v>611</v>
      </c>
      <c r="P2" s="498" t="s">
        <v>612</v>
      </c>
      <c r="Q2" s="498" t="s">
        <v>33</v>
      </c>
    </row>
    <row r="3" spans="1:17" x14ac:dyDescent="0.3">
      <c r="A3" s="498"/>
      <c r="B3" s="498"/>
      <c r="C3" s="244" t="s">
        <v>613</v>
      </c>
      <c r="D3" s="244" t="s">
        <v>614</v>
      </c>
      <c r="E3" s="244" t="s">
        <v>613</v>
      </c>
      <c r="F3" s="244" t="s">
        <v>614</v>
      </c>
      <c r="G3" s="498"/>
      <c r="H3" s="498"/>
      <c r="I3" s="498"/>
      <c r="J3" s="498"/>
      <c r="K3" s="498"/>
      <c r="L3" s="498"/>
      <c r="M3" s="498"/>
      <c r="N3" s="498"/>
      <c r="O3" s="498"/>
      <c r="P3" s="498"/>
      <c r="Q3" s="498"/>
    </row>
    <row r="4" spans="1:17" ht="23.4" customHeight="1" x14ac:dyDescent="0.3">
      <c r="A4" s="561" t="s">
        <v>715</v>
      </c>
      <c r="B4" s="234" t="s">
        <v>616</v>
      </c>
      <c r="C4" s="234" t="s">
        <v>641</v>
      </c>
      <c r="D4" s="234" t="s">
        <v>641</v>
      </c>
      <c r="E4" s="234" t="s">
        <v>26</v>
      </c>
      <c r="F4" s="234" t="s">
        <v>26</v>
      </c>
      <c r="G4" s="234" t="s">
        <v>26</v>
      </c>
      <c r="H4" s="515" t="s">
        <v>716</v>
      </c>
      <c r="I4" s="234" t="s">
        <v>26</v>
      </c>
      <c r="J4" s="234" t="s">
        <v>26</v>
      </c>
      <c r="K4" s="234" t="s">
        <v>634</v>
      </c>
      <c r="L4" s="234" t="s">
        <v>618</v>
      </c>
      <c r="M4" s="234" t="s">
        <v>619</v>
      </c>
      <c r="N4" s="234" t="s">
        <v>26</v>
      </c>
      <c r="O4" s="249" t="s">
        <v>717</v>
      </c>
      <c r="P4" s="107" t="s">
        <v>718</v>
      </c>
      <c r="Q4" s="558" t="s">
        <v>719</v>
      </c>
    </row>
    <row r="5" spans="1:17" ht="24.75" customHeight="1" x14ac:dyDescent="0.3">
      <c r="A5" s="561"/>
      <c r="B5" s="234" t="s">
        <v>622</v>
      </c>
      <c r="C5" s="522" t="s">
        <v>720</v>
      </c>
      <c r="D5" s="523"/>
      <c r="E5" s="522" t="s">
        <v>26</v>
      </c>
      <c r="F5" s="523"/>
      <c r="G5" s="234" t="s">
        <v>26</v>
      </c>
      <c r="H5" s="516"/>
      <c r="I5" s="234" t="s">
        <v>26</v>
      </c>
      <c r="J5" s="234" t="s">
        <v>26</v>
      </c>
      <c r="K5" s="234" t="s">
        <v>634</v>
      </c>
      <c r="L5" s="234" t="s">
        <v>618</v>
      </c>
      <c r="M5" s="234" t="s">
        <v>619</v>
      </c>
      <c r="N5" s="234" t="s">
        <v>26</v>
      </c>
      <c r="O5" s="249" t="s">
        <v>717</v>
      </c>
      <c r="P5" s="107" t="s">
        <v>718</v>
      </c>
      <c r="Q5" s="559"/>
    </row>
    <row r="6" spans="1:17" ht="22.2" customHeight="1" x14ac:dyDescent="0.3">
      <c r="A6" s="561"/>
      <c r="B6" s="234">
        <v>2020</v>
      </c>
      <c r="C6" s="241">
        <f>1552*0.8</f>
        <v>1241.6000000000001</v>
      </c>
      <c r="D6" s="241">
        <f>1552*1.2</f>
        <v>1862.3999999999999</v>
      </c>
      <c r="E6" s="234" t="s">
        <v>26</v>
      </c>
      <c r="F6" s="234" t="s">
        <v>26</v>
      </c>
      <c r="G6" s="49">
        <f>((C6+D6)/2)/17277</f>
        <v>8.9830410372171099E-2</v>
      </c>
      <c r="H6" s="516"/>
      <c r="I6" s="234" t="s">
        <v>26</v>
      </c>
      <c r="J6" s="234" t="s">
        <v>26</v>
      </c>
      <c r="K6" s="234" t="s">
        <v>634</v>
      </c>
      <c r="L6" s="234" t="s">
        <v>618</v>
      </c>
      <c r="M6" s="234" t="s">
        <v>619</v>
      </c>
      <c r="N6" s="234" t="s">
        <v>26</v>
      </c>
      <c r="O6" s="249" t="s">
        <v>717</v>
      </c>
      <c r="P6" s="107" t="s">
        <v>718</v>
      </c>
      <c r="Q6" s="559"/>
    </row>
    <row r="7" spans="1:17" ht="26.25" customHeight="1" x14ac:dyDescent="0.3">
      <c r="A7" s="561"/>
      <c r="B7" s="234">
        <v>2021</v>
      </c>
      <c r="C7" s="241">
        <f>1262*0.8</f>
        <v>1009.6</v>
      </c>
      <c r="D7" s="241">
        <f>1262*1.2</f>
        <v>1514.3999999999999</v>
      </c>
      <c r="E7" s="234" t="s">
        <v>26</v>
      </c>
      <c r="F7" s="234" t="s">
        <v>26</v>
      </c>
      <c r="G7" s="49">
        <f t="shared" ref="G7:G9" si="0">((C7+D7)/2)/17277</f>
        <v>7.3045088846443243E-2</v>
      </c>
      <c r="H7" s="516"/>
      <c r="I7" s="234" t="s">
        <v>26</v>
      </c>
      <c r="J7" s="234" t="s">
        <v>26</v>
      </c>
      <c r="K7" s="234" t="s">
        <v>634</v>
      </c>
      <c r="L7" s="234" t="s">
        <v>618</v>
      </c>
      <c r="M7" s="234" t="s">
        <v>619</v>
      </c>
      <c r="N7" s="234" t="s">
        <v>26</v>
      </c>
      <c r="O7" s="249" t="s">
        <v>717</v>
      </c>
      <c r="P7" s="107" t="s">
        <v>718</v>
      </c>
      <c r="Q7" s="559"/>
    </row>
    <row r="8" spans="1:17" ht="23.7" customHeight="1" x14ac:dyDescent="0.3">
      <c r="A8" s="561"/>
      <c r="B8" s="234">
        <v>2022</v>
      </c>
      <c r="C8" s="241">
        <f>632*0.8</f>
        <v>505.6</v>
      </c>
      <c r="D8" s="241">
        <f>632*1.2</f>
        <v>758.4</v>
      </c>
      <c r="E8" s="234" t="s">
        <v>26</v>
      </c>
      <c r="F8" s="234" t="s">
        <v>26</v>
      </c>
      <c r="G8" s="49">
        <f t="shared" si="0"/>
        <v>3.658042484227586E-2</v>
      </c>
      <c r="H8" s="516"/>
      <c r="I8" s="234" t="s">
        <v>26</v>
      </c>
      <c r="J8" s="234" t="s">
        <v>26</v>
      </c>
      <c r="K8" s="234" t="s">
        <v>634</v>
      </c>
      <c r="L8" s="234" t="s">
        <v>618</v>
      </c>
      <c r="M8" s="234" t="s">
        <v>619</v>
      </c>
      <c r="N8" s="234" t="s">
        <v>26</v>
      </c>
      <c r="O8" s="249" t="s">
        <v>717</v>
      </c>
      <c r="P8" s="107" t="s">
        <v>718</v>
      </c>
      <c r="Q8" s="559"/>
    </row>
    <row r="9" spans="1:17" ht="27.45" customHeight="1" x14ac:dyDescent="0.3">
      <c r="A9" s="561"/>
      <c r="B9" s="249" t="s">
        <v>623</v>
      </c>
      <c r="C9" s="241">
        <f>SUM(C6:C8)</f>
        <v>2756.8</v>
      </c>
      <c r="D9" s="241">
        <f>SUM(D6:D8)</f>
        <v>4135.2</v>
      </c>
      <c r="E9" s="234" t="s">
        <v>26</v>
      </c>
      <c r="F9" s="234" t="s">
        <v>26</v>
      </c>
      <c r="G9" s="49">
        <f t="shared" si="0"/>
        <v>0.19945592406089019</v>
      </c>
      <c r="H9" s="517"/>
      <c r="I9" s="234" t="s">
        <v>26</v>
      </c>
      <c r="J9" s="234" t="s">
        <v>26</v>
      </c>
      <c r="K9" s="234" t="s">
        <v>634</v>
      </c>
      <c r="L9" s="234" t="s">
        <v>618</v>
      </c>
      <c r="M9" s="234" t="s">
        <v>619</v>
      </c>
      <c r="N9" s="234" t="s">
        <v>26</v>
      </c>
      <c r="O9" s="249" t="s">
        <v>717</v>
      </c>
      <c r="P9" s="107" t="s">
        <v>718</v>
      </c>
      <c r="Q9" s="560"/>
    </row>
    <row r="10" spans="1:17" ht="27.6" x14ac:dyDescent="0.3">
      <c r="A10" s="561" t="s">
        <v>721</v>
      </c>
      <c r="B10" s="235" t="s">
        <v>616</v>
      </c>
      <c r="C10" s="235" t="s">
        <v>674</v>
      </c>
      <c r="D10" s="235" t="s">
        <v>674</v>
      </c>
      <c r="E10" s="235" t="s">
        <v>26</v>
      </c>
      <c r="F10" s="235" t="s">
        <v>26</v>
      </c>
      <c r="G10" s="235" t="s">
        <v>26</v>
      </c>
      <c r="H10" s="525" t="s">
        <v>722</v>
      </c>
      <c r="I10" s="235" t="s">
        <v>26</v>
      </c>
      <c r="J10" s="235" t="s">
        <v>26</v>
      </c>
      <c r="K10" s="235" t="s">
        <v>634</v>
      </c>
      <c r="L10" s="235" t="s">
        <v>618</v>
      </c>
      <c r="M10" s="250" t="s">
        <v>675</v>
      </c>
      <c r="N10" s="235" t="s">
        <v>26</v>
      </c>
      <c r="O10" s="250" t="s">
        <v>620</v>
      </c>
      <c r="P10" s="555" t="s">
        <v>723</v>
      </c>
      <c r="Q10" s="195"/>
    </row>
    <row r="11" spans="1:17" ht="27.6" x14ac:dyDescent="0.3">
      <c r="A11" s="561"/>
      <c r="B11" s="235" t="s">
        <v>622</v>
      </c>
      <c r="C11" s="507" t="s">
        <v>674</v>
      </c>
      <c r="D11" s="508"/>
      <c r="E11" s="235" t="s">
        <v>26</v>
      </c>
      <c r="F11" s="235" t="s">
        <v>26</v>
      </c>
      <c r="G11" s="235" t="s">
        <v>26</v>
      </c>
      <c r="H11" s="526"/>
      <c r="I11" s="235" t="s">
        <v>26</v>
      </c>
      <c r="J11" s="235" t="s">
        <v>26</v>
      </c>
      <c r="K11" s="235" t="s">
        <v>634</v>
      </c>
      <c r="L11" s="235" t="s">
        <v>618</v>
      </c>
      <c r="M11" s="250" t="s">
        <v>675</v>
      </c>
      <c r="N11" s="235" t="s">
        <v>26</v>
      </c>
      <c r="O11" s="250" t="s">
        <v>620</v>
      </c>
      <c r="P11" s="556"/>
      <c r="Q11" s="195"/>
    </row>
    <row r="12" spans="1:17" ht="27.6" x14ac:dyDescent="0.3">
      <c r="A12" s="561"/>
      <c r="B12" s="235">
        <v>2020</v>
      </c>
      <c r="C12" s="235" t="s">
        <v>674</v>
      </c>
      <c r="D12" s="235" t="s">
        <v>674</v>
      </c>
      <c r="E12" s="235" t="s">
        <v>26</v>
      </c>
      <c r="F12" s="235" t="s">
        <v>26</v>
      </c>
      <c r="G12" s="235" t="s">
        <v>26</v>
      </c>
      <c r="H12" s="526"/>
      <c r="I12" s="235" t="s">
        <v>26</v>
      </c>
      <c r="J12" s="235" t="s">
        <v>26</v>
      </c>
      <c r="K12" s="235" t="s">
        <v>634</v>
      </c>
      <c r="L12" s="235" t="s">
        <v>618</v>
      </c>
      <c r="M12" s="250" t="s">
        <v>675</v>
      </c>
      <c r="N12" s="235" t="s">
        <v>26</v>
      </c>
      <c r="O12" s="250" t="s">
        <v>620</v>
      </c>
      <c r="P12" s="556"/>
      <c r="Q12" s="195"/>
    </row>
    <row r="13" spans="1:17" ht="27.6" x14ac:dyDescent="0.3">
      <c r="A13" s="561"/>
      <c r="B13" s="235">
        <v>2021</v>
      </c>
      <c r="C13" s="235" t="s">
        <v>674</v>
      </c>
      <c r="D13" s="235" t="s">
        <v>674</v>
      </c>
      <c r="E13" s="235" t="s">
        <v>26</v>
      </c>
      <c r="F13" s="235" t="s">
        <v>26</v>
      </c>
      <c r="G13" s="235" t="s">
        <v>26</v>
      </c>
      <c r="H13" s="526"/>
      <c r="I13" s="235" t="s">
        <v>26</v>
      </c>
      <c r="J13" s="235" t="s">
        <v>26</v>
      </c>
      <c r="K13" s="235" t="s">
        <v>634</v>
      </c>
      <c r="L13" s="235" t="s">
        <v>618</v>
      </c>
      <c r="M13" s="250" t="s">
        <v>675</v>
      </c>
      <c r="N13" s="235" t="s">
        <v>26</v>
      </c>
      <c r="O13" s="250" t="s">
        <v>620</v>
      </c>
      <c r="P13" s="556"/>
      <c r="Q13" s="195"/>
    </row>
    <row r="14" spans="1:17" ht="27.6" x14ac:dyDescent="0.3">
      <c r="A14" s="561"/>
      <c r="B14" s="235">
        <v>2022</v>
      </c>
      <c r="C14" s="235" t="s">
        <v>674</v>
      </c>
      <c r="D14" s="235" t="s">
        <v>674</v>
      </c>
      <c r="E14" s="235" t="s">
        <v>26</v>
      </c>
      <c r="F14" s="235" t="s">
        <v>26</v>
      </c>
      <c r="G14" s="235" t="s">
        <v>26</v>
      </c>
      <c r="H14" s="526"/>
      <c r="I14" s="235" t="s">
        <v>26</v>
      </c>
      <c r="J14" s="235" t="s">
        <v>26</v>
      </c>
      <c r="K14" s="235" t="s">
        <v>634</v>
      </c>
      <c r="L14" s="235" t="s">
        <v>618</v>
      </c>
      <c r="M14" s="250" t="s">
        <v>675</v>
      </c>
      <c r="N14" s="235" t="s">
        <v>26</v>
      </c>
      <c r="O14" s="250" t="s">
        <v>620</v>
      </c>
      <c r="P14" s="556"/>
      <c r="Q14" s="195"/>
    </row>
    <row r="15" spans="1:17" ht="27.6" x14ac:dyDescent="0.3">
      <c r="A15" s="561"/>
      <c r="B15" s="250" t="s">
        <v>623</v>
      </c>
      <c r="C15" s="235" t="s">
        <v>674</v>
      </c>
      <c r="D15" s="235" t="s">
        <v>674</v>
      </c>
      <c r="E15" s="235" t="s">
        <v>26</v>
      </c>
      <c r="F15" s="235" t="s">
        <v>26</v>
      </c>
      <c r="G15" s="235" t="s">
        <v>26</v>
      </c>
      <c r="H15" s="527"/>
      <c r="I15" s="235" t="s">
        <v>26</v>
      </c>
      <c r="J15" s="235" t="s">
        <v>26</v>
      </c>
      <c r="K15" s="235" t="s">
        <v>634</v>
      </c>
      <c r="L15" s="235" t="s">
        <v>618</v>
      </c>
      <c r="M15" s="250" t="s">
        <v>675</v>
      </c>
      <c r="N15" s="235" t="s">
        <v>26</v>
      </c>
      <c r="O15" s="250" t="s">
        <v>620</v>
      </c>
      <c r="P15" s="557"/>
      <c r="Q15" s="195"/>
    </row>
    <row r="16" spans="1:17" ht="19.5" customHeight="1" x14ac:dyDescent="0.3">
      <c r="A16" s="561" t="s">
        <v>724</v>
      </c>
      <c r="B16" s="234" t="s">
        <v>616</v>
      </c>
      <c r="C16" s="234" t="s">
        <v>26</v>
      </c>
      <c r="D16" s="234" t="s">
        <v>26</v>
      </c>
      <c r="E16" s="234" t="s">
        <v>26</v>
      </c>
      <c r="F16" s="234" t="s">
        <v>26</v>
      </c>
      <c r="G16" s="234" t="s">
        <v>26</v>
      </c>
      <c r="H16" s="515" t="s">
        <v>725</v>
      </c>
      <c r="I16" s="568" t="s">
        <v>628</v>
      </c>
      <c r="J16" s="569"/>
      <c r="K16" s="234" t="s">
        <v>634</v>
      </c>
      <c r="L16" s="234" t="s">
        <v>26</v>
      </c>
      <c r="M16" s="234" t="s">
        <v>26</v>
      </c>
      <c r="N16" s="234" t="s">
        <v>638</v>
      </c>
      <c r="O16" s="234" t="s">
        <v>726</v>
      </c>
      <c r="P16" s="107" t="s">
        <v>718</v>
      </c>
      <c r="Q16" s="558" t="s">
        <v>727</v>
      </c>
    </row>
    <row r="17" spans="1:18" x14ac:dyDescent="0.3">
      <c r="A17" s="561"/>
      <c r="B17" s="234" t="s">
        <v>622</v>
      </c>
      <c r="C17" s="574">
        <v>98</v>
      </c>
      <c r="D17" s="523"/>
      <c r="E17" s="522" t="s">
        <v>26</v>
      </c>
      <c r="F17" s="523"/>
      <c r="G17" s="234" t="s">
        <v>26</v>
      </c>
      <c r="H17" s="516"/>
      <c r="I17" s="570"/>
      <c r="J17" s="571"/>
      <c r="K17" s="234" t="s">
        <v>634</v>
      </c>
      <c r="L17" s="234" t="s">
        <v>26</v>
      </c>
      <c r="M17" s="234" t="s">
        <v>26</v>
      </c>
      <c r="N17" s="234" t="s">
        <v>638</v>
      </c>
      <c r="O17" s="234" t="s">
        <v>726</v>
      </c>
      <c r="P17" s="107" t="s">
        <v>718</v>
      </c>
      <c r="Q17" s="559"/>
    </row>
    <row r="18" spans="1:18" x14ac:dyDescent="0.3">
      <c r="A18" s="561"/>
      <c r="B18" s="234">
        <v>2020</v>
      </c>
      <c r="C18" s="241">
        <v>221</v>
      </c>
      <c r="D18" s="241">
        <v>268</v>
      </c>
      <c r="E18" s="234" t="s">
        <v>26</v>
      </c>
      <c r="F18" s="234" t="s">
        <v>26</v>
      </c>
      <c r="G18" s="49">
        <f>((C18+D18)/2)/17277</f>
        <v>1.4151762458760202E-2</v>
      </c>
      <c r="H18" s="516"/>
      <c r="I18" s="570"/>
      <c r="J18" s="571"/>
      <c r="K18" s="234" t="s">
        <v>634</v>
      </c>
      <c r="L18" s="234" t="s">
        <v>625</v>
      </c>
      <c r="M18" s="234" t="s">
        <v>26</v>
      </c>
      <c r="N18" s="234" t="s">
        <v>638</v>
      </c>
      <c r="O18" s="234" t="s">
        <v>726</v>
      </c>
      <c r="P18" s="107" t="s">
        <v>718</v>
      </c>
      <c r="Q18" s="559"/>
    </row>
    <row r="19" spans="1:18" x14ac:dyDescent="0.3">
      <c r="A19" s="561"/>
      <c r="B19" s="234">
        <v>2021</v>
      </c>
      <c r="C19" s="241">
        <v>221</v>
      </c>
      <c r="D19" s="241">
        <v>268</v>
      </c>
      <c r="E19" s="234" t="s">
        <v>26</v>
      </c>
      <c r="F19" s="234" t="s">
        <v>26</v>
      </c>
      <c r="G19" s="49">
        <f t="shared" ref="G19:G21" si="1">((C19+D19)/2)/17277</f>
        <v>1.4151762458760202E-2</v>
      </c>
      <c r="H19" s="516"/>
      <c r="I19" s="570"/>
      <c r="J19" s="571"/>
      <c r="K19" s="234" t="s">
        <v>634</v>
      </c>
      <c r="L19" s="234" t="s">
        <v>625</v>
      </c>
      <c r="M19" s="234" t="s">
        <v>26</v>
      </c>
      <c r="N19" s="234" t="s">
        <v>638</v>
      </c>
      <c r="O19" s="234" t="s">
        <v>726</v>
      </c>
      <c r="P19" s="107" t="s">
        <v>718</v>
      </c>
      <c r="Q19" s="559"/>
    </row>
    <row r="20" spans="1:18" x14ac:dyDescent="0.3">
      <c r="A20" s="561"/>
      <c r="B20" s="234">
        <v>2022</v>
      </c>
      <c r="C20" s="241">
        <v>221</v>
      </c>
      <c r="D20" s="241">
        <v>268</v>
      </c>
      <c r="E20" s="234" t="s">
        <v>26</v>
      </c>
      <c r="F20" s="234" t="s">
        <v>26</v>
      </c>
      <c r="G20" s="49">
        <f t="shared" si="1"/>
        <v>1.4151762458760202E-2</v>
      </c>
      <c r="H20" s="516"/>
      <c r="I20" s="570"/>
      <c r="J20" s="571"/>
      <c r="K20" s="234" t="s">
        <v>634</v>
      </c>
      <c r="L20" s="234" t="s">
        <v>625</v>
      </c>
      <c r="M20" s="234" t="s">
        <v>26</v>
      </c>
      <c r="N20" s="234" t="s">
        <v>638</v>
      </c>
      <c r="O20" s="234" t="s">
        <v>726</v>
      </c>
      <c r="P20" s="107" t="s">
        <v>718</v>
      </c>
      <c r="Q20" s="559"/>
    </row>
    <row r="21" spans="1:18" ht="27.6" x14ac:dyDescent="0.3">
      <c r="A21" s="561"/>
      <c r="B21" s="249" t="s">
        <v>623</v>
      </c>
      <c r="C21" s="241">
        <f>SUM(C18:C20)</f>
        <v>663</v>
      </c>
      <c r="D21" s="241">
        <f>SUM(D18:D20)</f>
        <v>804</v>
      </c>
      <c r="E21" s="234" t="s">
        <v>26</v>
      </c>
      <c r="F21" s="234" t="s">
        <v>26</v>
      </c>
      <c r="G21" s="49">
        <f t="shared" si="1"/>
        <v>4.2455287376280605E-2</v>
      </c>
      <c r="H21" s="517"/>
      <c r="I21" s="572"/>
      <c r="J21" s="573"/>
      <c r="K21" s="234" t="s">
        <v>634</v>
      </c>
      <c r="L21" s="234" t="s">
        <v>625</v>
      </c>
      <c r="M21" s="234" t="s">
        <v>26</v>
      </c>
      <c r="N21" s="234" t="s">
        <v>638</v>
      </c>
      <c r="O21" s="234" t="s">
        <v>726</v>
      </c>
      <c r="P21" s="107" t="s">
        <v>718</v>
      </c>
      <c r="Q21" s="560"/>
    </row>
    <row r="22" spans="1:18" ht="21.45" customHeight="1" x14ac:dyDescent="0.3">
      <c r="A22" s="561" t="s">
        <v>728</v>
      </c>
      <c r="B22" s="235" t="s">
        <v>616</v>
      </c>
      <c r="C22" s="235" t="s">
        <v>720</v>
      </c>
      <c r="D22" s="235" t="s">
        <v>641</v>
      </c>
      <c r="E22" s="235" t="s">
        <v>26</v>
      </c>
      <c r="F22" s="235" t="s">
        <v>26</v>
      </c>
      <c r="G22" s="235" t="s">
        <v>26</v>
      </c>
      <c r="H22" s="525" t="s">
        <v>716</v>
      </c>
      <c r="I22" s="562" t="s">
        <v>628</v>
      </c>
      <c r="J22" s="563"/>
      <c r="K22" s="235" t="s">
        <v>634</v>
      </c>
      <c r="L22" s="235" t="s">
        <v>618</v>
      </c>
      <c r="M22" s="235" t="s">
        <v>619</v>
      </c>
      <c r="N22" s="235" t="s">
        <v>26</v>
      </c>
      <c r="O22" s="235" t="s">
        <v>726</v>
      </c>
      <c r="P22" s="103" t="s">
        <v>718</v>
      </c>
      <c r="Q22" s="575" t="s">
        <v>727</v>
      </c>
    </row>
    <row r="23" spans="1:18" x14ac:dyDescent="0.3">
      <c r="A23" s="561"/>
      <c r="B23" s="235" t="s">
        <v>622</v>
      </c>
      <c r="C23" s="507" t="s">
        <v>641</v>
      </c>
      <c r="D23" s="508"/>
      <c r="E23" s="235" t="s">
        <v>26</v>
      </c>
      <c r="F23" s="235" t="s">
        <v>26</v>
      </c>
      <c r="G23" s="235" t="s">
        <v>26</v>
      </c>
      <c r="H23" s="526"/>
      <c r="I23" s="564"/>
      <c r="J23" s="565"/>
      <c r="K23" s="235" t="s">
        <v>634</v>
      </c>
      <c r="L23" s="235" t="s">
        <v>618</v>
      </c>
      <c r="M23" s="235" t="s">
        <v>619</v>
      </c>
      <c r="N23" s="235" t="s">
        <v>26</v>
      </c>
      <c r="O23" s="235" t="s">
        <v>726</v>
      </c>
      <c r="P23" s="103" t="s">
        <v>718</v>
      </c>
      <c r="Q23" s="576"/>
    </row>
    <row r="24" spans="1:18" x14ac:dyDescent="0.3">
      <c r="A24" s="561"/>
      <c r="B24" s="235">
        <v>2020</v>
      </c>
      <c r="C24" s="51">
        <v>333</v>
      </c>
      <c r="D24" s="51">
        <v>403</v>
      </c>
      <c r="E24" s="235" t="s">
        <v>26</v>
      </c>
      <c r="F24" s="235" t="s">
        <v>26</v>
      </c>
      <c r="G24" s="50">
        <f>((C24+D24)/2)/17277</f>
        <v>2.1299994211958096E-2</v>
      </c>
      <c r="H24" s="526"/>
      <c r="I24" s="564"/>
      <c r="J24" s="565"/>
      <c r="K24" s="235" t="s">
        <v>634</v>
      </c>
      <c r="L24" s="235" t="s">
        <v>618</v>
      </c>
      <c r="M24" s="235" t="s">
        <v>619</v>
      </c>
      <c r="N24" s="235" t="s">
        <v>26</v>
      </c>
      <c r="O24" s="235" t="s">
        <v>726</v>
      </c>
      <c r="P24" s="103" t="s">
        <v>718</v>
      </c>
      <c r="Q24" s="576"/>
    </row>
    <row r="25" spans="1:18" x14ac:dyDescent="0.3">
      <c r="A25" s="561"/>
      <c r="B25" s="235">
        <v>2021</v>
      </c>
      <c r="C25" s="51">
        <v>333</v>
      </c>
      <c r="D25" s="51">
        <v>403</v>
      </c>
      <c r="E25" s="235" t="s">
        <v>26</v>
      </c>
      <c r="F25" s="235" t="s">
        <v>26</v>
      </c>
      <c r="G25" s="50">
        <f t="shared" ref="G25:G27" si="2">((C25+D25)/2)/17277</f>
        <v>2.1299994211958096E-2</v>
      </c>
      <c r="H25" s="526"/>
      <c r="I25" s="564"/>
      <c r="J25" s="565"/>
      <c r="K25" s="235" t="s">
        <v>634</v>
      </c>
      <c r="L25" s="235" t="s">
        <v>618</v>
      </c>
      <c r="M25" s="235" t="s">
        <v>619</v>
      </c>
      <c r="N25" s="235" t="s">
        <v>26</v>
      </c>
      <c r="O25" s="235" t="s">
        <v>726</v>
      </c>
      <c r="P25" s="103" t="s">
        <v>718</v>
      </c>
      <c r="Q25" s="576"/>
    </row>
    <row r="26" spans="1:18" x14ac:dyDescent="0.3">
      <c r="A26" s="561"/>
      <c r="B26" s="235">
        <v>2022</v>
      </c>
      <c r="C26" s="51">
        <v>333</v>
      </c>
      <c r="D26" s="51">
        <v>403</v>
      </c>
      <c r="E26" s="235" t="s">
        <v>26</v>
      </c>
      <c r="F26" s="235" t="s">
        <v>26</v>
      </c>
      <c r="G26" s="50">
        <f t="shared" si="2"/>
        <v>2.1299994211958096E-2</v>
      </c>
      <c r="H26" s="526"/>
      <c r="I26" s="564"/>
      <c r="J26" s="565"/>
      <c r="K26" s="235" t="s">
        <v>634</v>
      </c>
      <c r="L26" s="235" t="s">
        <v>618</v>
      </c>
      <c r="M26" s="235" t="s">
        <v>619</v>
      </c>
      <c r="N26" s="235" t="s">
        <v>26</v>
      </c>
      <c r="O26" s="235" t="s">
        <v>726</v>
      </c>
      <c r="P26" s="103" t="s">
        <v>718</v>
      </c>
      <c r="Q26" s="576"/>
    </row>
    <row r="27" spans="1:18" ht="27.6" x14ac:dyDescent="0.3">
      <c r="A27" s="561"/>
      <c r="B27" s="250" t="s">
        <v>623</v>
      </c>
      <c r="C27" s="51">
        <f>SUM(C24:C26)</f>
        <v>999</v>
      </c>
      <c r="D27" s="51">
        <f>SUM(D24:D26)</f>
        <v>1209</v>
      </c>
      <c r="E27" s="235" t="s">
        <v>26</v>
      </c>
      <c r="F27" s="235" t="s">
        <v>26</v>
      </c>
      <c r="G27" s="50">
        <f t="shared" si="2"/>
        <v>6.3899982635874278E-2</v>
      </c>
      <c r="H27" s="527"/>
      <c r="I27" s="566"/>
      <c r="J27" s="567"/>
      <c r="K27" s="235" t="s">
        <v>634</v>
      </c>
      <c r="L27" s="235" t="s">
        <v>618</v>
      </c>
      <c r="M27" s="235" t="s">
        <v>619</v>
      </c>
      <c r="N27" s="235" t="s">
        <v>26</v>
      </c>
      <c r="O27" s="235" t="s">
        <v>726</v>
      </c>
      <c r="P27" s="103" t="s">
        <v>718</v>
      </c>
      <c r="Q27" s="577"/>
    </row>
    <row r="28" spans="1:18" ht="27.6" x14ac:dyDescent="0.3">
      <c r="A28" s="561" t="s">
        <v>729</v>
      </c>
      <c r="B28" s="234" t="s">
        <v>616</v>
      </c>
      <c r="C28" s="234" t="s">
        <v>26</v>
      </c>
      <c r="D28" s="234" t="s">
        <v>26</v>
      </c>
      <c r="E28" s="234" t="s">
        <v>26</v>
      </c>
      <c r="F28" s="234" t="s">
        <v>26</v>
      </c>
      <c r="G28" s="234" t="s">
        <v>26</v>
      </c>
      <c r="H28" s="515" t="s">
        <v>716</v>
      </c>
      <c r="I28" s="568" t="s">
        <v>628</v>
      </c>
      <c r="J28" s="569"/>
      <c r="K28" s="234" t="s">
        <v>634</v>
      </c>
      <c r="L28" s="234" t="s">
        <v>26</v>
      </c>
      <c r="M28" s="234" t="s">
        <v>26</v>
      </c>
      <c r="N28" s="234" t="s">
        <v>26</v>
      </c>
      <c r="O28" s="249" t="s">
        <v>620</v>
      </c>
      <c r="P28" s="140" t="s">
        <v>730</v>
      </c>
      <c r="Q28" s="558" t="s">
        <v>731</v>
      </c>
    </row>
    <row r="29" spans="1:18" ht="27.6" x14ac:dyDescent="0.3">
      <c r="A29" s="561"/>
      <c r="B29" s="234" t="s">
        <v>622</v>
      </c>
      <c r="C29" s="580" t="s">
        <v>26</v>
      </c>
      <c r="D29" s="581"/>
      <c r="E29" s="522" t="s">
        <v>26</v>
      </c>
      <c r="F29" s="523"/>
      <c r="G29" s="234" t="s">
        <v>26</v>
      </c>
      <c r="H29" s="516"/>
      <c r="I29" s="570"/>
      <c r="J29" s="571"/>
      <c r="K29" s="234" t="s">
        <v>634</v>
      </c>
      <c r="L29" s="234" t="s">
        <v>625</v>
      </c>
      <c r="M29" s="234" t="s">
        <v>26</v>
      </c>
      <c r="N29" s="234" t="s">
        <v>638</v>
      </c>
      <c r="O29" s="249" t="s">
        <v>620</v>
      </c>
      <c r="P29" s="140" t="s">
        <v>730</v>
      </c>
      <c r="Q29" s="559"/>
    </row>
    <row r="30" spans="1:18" ht="27.6" x14ac:dyDescent="0.3">
      <c r="A30" s="561"/>
      <c r="B30" s="232">
        <v>2020</v>
      </c>
      <c r="C30" s="139">
        <v>2880</v>
      </c>
      <c r="D30" s="139">
        <v>4320</v>
      </c>
      <c r="E30" s="234" t="s">
        <v>26</v>
      </c>
      <c r="F30" s="234" t="s">
        <v>26</v>
      </c>
      <c r="G30" s="49">
        <f>((C30+D30)/2)/17277</f>
        <v>0.20836950859524223</v>
      </c>
      <c r="H30" s="516"/>
      <c r="I30" s="570"/>
      <c r="J30" s="571"/>
      <c r="K30" s="234" t="s">
        <v>634</v>
      </c>
      <c r="L30" s="234" t="s">
        <v>625</v>
      </c>
      <c r="M30" s="234" t="s">
        <v>26</v>
      </c>
      <c r="N30" s="234" t="s">
        <v>638</v>
      </c>
      <c r="O30" s="249" t="s">
        <v>620</v>
      </c>
      <c r="P30" s="140" t="s">
        <v>730</v>
      </c>
      <c r="Q30" s="559"/>
      <c r="R30" s="73"/>
    </row>
    <row r="31" spans="1:18" ht="27.6" x14ac:dyDescent="0.3">
      <c r="A31" s="561"/>
      <c r="B31" s="232">
        <v>2021</v>
      </c>
      <c r="C31" s="139">
        <v>1944</v>
      </c>
      <c r="D31" s="139">
        <v>2916</v>
      </c>
      <c r="E31" s="234" t="s">
        <v>26</v>
      </c>
      <c r="F31" s="234" t="s">
        <v>26</v>
      </c>
      <c r="G31" s="49">
        <f t="shared" ref="G31:G33" si="3">((C31+D31)/2)/17277</f>
        <v>0.14064941830178851</v>
      </c>
      <c r="H31" s="516"/>
      <c r="I31" s="570"/>
      <c r="J31" s="571"/>
      <c r="K31" s="234" t="s">
        <v>634</v>
      </c>
      <c r="L31" s="234" t="s">
        <v>625</v>
      </c>
      <c r="M31" s="234" t="s">
        <v>26</v>
      </c>
      <c r="N31" s="234" t="s">
        <v>638</v>
      </c>
      <c r="O31" s="249" t="s">
        <v>620</v>
      </c>
      <c r="P31" s="140" t="s">
        <v>730</v>
      </c>
      <c r="Q31" s="559"/>
    </row>
    <row r="32" spans="1:18" ht="27.6" x14ac:dyDescent="0.3">
      <c r="A32" s="561"/>
      <c r="B32" s="232">
        <v>2022</v>
      </c>
      <c r="C32" s="139">
        <v>1944</v>
      </c>
      <c r="D32" s="139">
        <v>2916</v>
      </c>
      <c r="E32" s="234" t="s">
        <v>26</v>
      </c>
      <c r="F32" s="234" t="s">
        <v>26</v>
      </c>
      <c r="G32" s="49">
        <f t="shared" si="3"/>
        <v>0.14064941830178851</v>
      </c>
      <c r="H32" s="516"/>
      <c r="I32" s="570"/>
      <c r="J32" s="571"/>
      <c r="K32" s="234" t="s">
        <v>634</v>
      </c>
      <c r="L32" s="234" t="s">
        <v>625</v>
      </c>
      <c r="M32" s="234" t="s">
        <v>26</v>
      </c>
      <c r="N32" s="234" t="s">
        <v>638</v>
      </c>
      <c r="O32" s="249" t="s">
        <v>620</v>
      </c>
      <c r="P32" s="140" t="s">
        <v>730</v>
      </c>
      <c r="Q32" s="559"/>
    </row>
    <row r="33" spans="1:21" ht="27.6" x14ac:dyDescent="0.3">
      <c r="A33" s="561"/>
      <c r="B33" s="249" t="s">
        <v>623</v>
      </c>
      <c r="C33" s="74">
        <f>SUM(C30:C32)</f>
        <v>6768</v>
      </c>
      <c r="D33" s="74">
        <f>SUM(D30:D32)</f>
        <v>10152</v>
      </c>
      <c r="E33" s="234" t="s">
        <v>26</v>
      </c>
      <c r="F33" s="234" t="s">
        <v>26</v>
      </c>
      <c r="G33" s="49">
        <f t="shared" si="3"/>
        <v>0.48966834519881924</v>
      </c>
      <c r="H33" s="517"/>
      <c r="I33" s="572"/>
      <c r="J33" s="573"/>
      <c r="K33" s="234" t="s">
        <v>634</v>
      </c>
      <c r="L33" s="234" t="s">
        <v>625</v>
      </c>
      <c r="M33" s="234" t="s">
        <v>26</v>
      </c>
      <c r="N33" s="234" t="s">
        <v>638</v>
      </c>
      <c r="O33" s="249" t="s">
        <v>620</v>
      </c>
      <c r="P33" s="140" t="s">
        <v>730</v>
      </c>
      <c r="Q33" s="560"/>
    </row>
    <row r="34" spans="1:21" ht="27.6" x14ac:dyDescent="0.3">
      <c r="A34" s="561" t="s">
        <v>732</v>
      </c>
      <c r="B34" s="235" t="s">
        <v>616</v>
      </c>
      <c r="C34" s="235" t="s">
        <v>26</v>
      </c>
      <c r="D34" s="235" t="s">
        <v>26</v>
      </c>
      <c r="E34" s="235" t="s">
        <v>26</v>
      </c>
      <c r="F34" s="235" t="s">
        <v>26</v>
      </c>
      <c r="G34" s="235" t="s">
        <v>26</v>
      </c>
      <c r="H34" s="525" t="s">
        <v>716</v>
      </c>
      <c r="I34" s="562" t="s">
        <v>628</v>
      </c>
      <c r="J34" s="563"/>
      <c r="K34" s="235" t="s">
        <v>634</v>
      </c>
      <c r="L34" s="235" t="s">
        <v>26</v>
      </c>
      <c r="M34" s="235" t="s">
        <v>26</v>
      </c>
      <c r="N34" s="235" t="s">
        <v>26</v>
      </c>
      <c r="O34" s="250" t="s">
        <v>620</v>
      </c>
      <c r="P34" s="141" t="s">
        <v>730</v>
      </c>
      <c r="Q34" s="575" t="s">
        <v>731</v>
      </c>
    </row>
    <row r="35" spans="1:21" ht="27.6" x14ac:dyDescent="0.3">
      <c r="A35" s="561"/>
      <c r="B35" s="235" t="s">
        <v>622</v>
      </c>
      <c r="C35" s="578">
        <v>13474</v>
      </c>
      <c r="D35" s="579"/>
      <c r="E35" s="507" t="s">
        <v>26</v>
      </c>
      <c r="F35" s="508"/>
      <c r="G35" s="235" t="s">
        <v>26</v>
      </c>
      <c r="H35" s="526"/>
      <c r="I35" s="564"/>
      <c r="J35" s="565"/>
      <c r="K35" s="235" t="s">
        <v>634</v>
      </c>
      <c r="L35" s="235" t="s">
        <v>625</v>
      </c>
      <c r="M35" s="235" t="s">
        <v>26</v>
      </c>
      <c r="N35" s="235" t="s">
        <v>638</v>
      </c>
      <c r="O35" s="250" t="s">
        <v>620</v>
      </c>
      <c r="P35" s="141" t="s">
        <v>730</v>
      </c>
      <c r="Q35" s="576"/>
      <c r="S35" s="106"/>
      <c r="T35" s="106"/>
    </row>
    <row r="36" spans="1:21" ht="27.6" x14ac:dyDescent="0.3">
      <c r="A36" s="561"/>
      <c r="B36" s="230">
        <v>2020</v>
      </c>
      <c r="C36" s="75">
        <v>21000</v>
      </c>
      <c r="D36" s="75">
        <v>25700</v>
      </c>
      <c r="E36" s="235" t="s">
        <v>26</v>
      </c>
      <c r="F36" s="235" t="s">
        <v>26</v>
      </c>
      <c r="G36" s="50">
        <f>((C36+D36)/2)/17277</f>
        <v>1.3515077849163628</v>
      </c>
      <c r="H36" s="526"/>
      <c r="I36" s="564"/>
      <c r="J36" s="565"/>
      <c r="K36" s="235" t="s">
        <v>634</v>
      </c>
      <c r="L36" s="235" t="s">
        <v>625</v>
      </c>
      <c r="M36" s="235" t="s">
        <v>26</v>
      </c>
      <c r="N36" s="235" t="s">
        <v>638</v>
      </c>
      <c r="O36" s="250" t="s">
        <v>620</v>
      </c>
      <c r="P36" s="141" t="s">
        <v>730</v>
      </c>
      <c r="Q36" s="576"/>
      <c r="R36" s="73"/>
      <c r="S36" s="106"/>
      <c r="T36" s="106"/>
      <c r="U36" s="106"/>
    </row>
    <row r="37" spans="1:21" ht="27.6" x14ac:dyDescent="0.3">
      <c r="A37" s="561"/>
      <c r="B37" s="230">
        <v>2021</v>
      </c>
      <c r="C37" s="75">
        <f t="shared" ref="C37" si="4">24000*0.8</f>
        <v>19200</v>
      </c>
      <c r="D37" s="75">
        <v>22400</v>
      </c>
      <c r="E37" s="235" t="s">
        <v>26</v>
      </c>
      <c r="F37" s="235" t="s">
        <v>26</v>
      </c>
      <c r="G37" s="50">
        <f t="shared" ref="G37:G39" si="5">((C37+D37)/2)/17277</f>
        <v>1.2039127163280663</v>
      </c>
      <c r="H37" s="526"/>
      <c r="I37" s="564"/>
      <c r="J37" s="565"/>
      <c r="K37" s="235" t="s">
        <v>634</v>
      </c>
      <c r="L37" s="235" t="s">
        <v>625</v>
      </c>
      <c r="M37" s="235" t="s">
        <v>26</v>
      </c>
      <c r="N37" s="235" t="s">
        <v>638</v>
      </c>
      <c r="O37" s="250" t="s">
        <v>620</v>
      </c>
      <c r="P37" s="141" t="s">
        <v>730</v>
      </c>
      <c r="Q37" s="576"/>
    </row>
    <row r="38" spans="1:21" ht="27.6" x14ac:dyDescent="0.3">
      <c r="A38" s="561"/>
      <c r="B38" s="230">
        <v>2022</v>
      </c>
      <c r="C38" s="75">
        <v>12500</v>
      </c>
      <c r="D38" s="75">
        <v>17800</v>
      </c>
      <c r="E38" s="235" t="s">
        <v>26</v>
      </c>
      <c r="F38" s="235" t="s">
        <v>26</v>
      </c>
      <c r="G38" s="50">
        <f t="shared" si="5"/>
        <v>0.87688834867164434</v>
      </c>
      <c r="H38" s="526"/>
      <c r="I38" s="564"/>
      <c r="J38" s="565"/>
      <c r="K38" s="235" t="s">
        <v>634</v>
      </c>
      <c r="L38" s="235" t="s">
        <v>625</v>
      </c>
      <c r="M38" s="235" t="s">
        <v>26</v>
      </c>
      <c r="N38" s="235" t="s">
        <v>638</v>
      </c>
      <c r="O38" s="250" t="s">
        <v>620</v>
      </c>
      <c r="P38" s="141" t="s">
        <v>730</v>
      </c>
      <c r="Q38" s="576"/>
    </row>
    <row r="39" spans="1:21" ht="27.6" x14ac:dyDescent="0.3">
      <c r="A39" s="561"/>
      <c r="B39" s="250" t="s">
        <v>623</v>
      </c>
      <c r="C39" s="76">
        <f>SUM(C36:C38)</f>
        <v>52700</v>
      </c>
      <c r="D39" s="76">
        <f>SUM(D36:D38)</f>
        <v>65900</v>
      </c>
      <c r="E39" s="235" t="s">
        <v>26</v>
      </c>
      <c r="F39" s="235" t="s">
        <v>26</v>
      </c>
      <c r="G39" s="50">
        <f t="shared" si="5"/>
        <v>3.4323088499160734</v>
      </c>
      <c r="H39" s="527"/>
      <c r="I39" s="566"/>
      <c r="J39" s="567"/>
      <c r="K39" s="235" t="s">
        <v>634</v>
      </c>
      <c r="L39" s="235" t="s">
        <v>625</v>
      </c>
      <c r="M39" s="235" t="s">
        <v>26</v>
      </c>
      <c r="N39" s="235" t="s">
        <v>638</v>
      </c>
      <c r="O39" s="250" t="s">
        <v>620</v>
      </c>
      <c r="P39" s="141" t="s">
        <v>730</v>
      </c>
      <c r="Q39" s="577"/>
    </row>
    <row r="40" spans="1:21" ht="27.6" x14ac:dyDescent="0.3">
      <c r="A40" s="561" t="s">
        <v>733</v>
      </c>
      <c r="B40" s="235" t="s">
        <v>616</v>
      </c>
      <c r="C40" s="235" t="s">
        <v>26</v>
      </c>
      <c r="D40" s="235" t="s">
        <v>26</v>
      </c>
      <c r="E40" s="235" t="s">
        <v>26</v>
      </c>
      <c r="F40" s="235" t="s">
        <v>26</v>
      </c>
      <c r="G40" s="235" t="s">
        <v>26</v>
      </c>
      <c r="H40" s="525" t="s">
        <v>716</v>
      </c>
      <c r="I40" s="562" t="s">
        <v>628</v>
      </c>
      <c r="J40" s="563"/>
      <c r="K40" s="235" t="s">
        <v>634</v>
      </c>
      <c r="L40" s="235" t="s">
        <v>26</v>
      </c>
      <c r="M40" s="235" t="s">
        <v>26</v>
      </c>
      <c r="N40" s="235" t="s">
        <v>26</v>
      </c>
      <c r="O40" s="250" t="s">
        <v>620</v>
      </c>
      <c r="P40" s="141" t="s">
        <v>730</v>
      </c>
      <c r="Q40" s="575" t="s">
        <v>731</v>
      </c>
    </row>
    <row r="41" spans="1:21" ht="27.6" x14ac:dyDescent="0.3">
      <c r="A41" s="561"/>
      <c r="B41" s="235" t="s">
        <v>622</v>
      </c>
      <c r="C41" s="582" t="s">
        <v>26</v>
      </c>
      <c r="D41" s="583"/>
      <c r="E41" s="507" t="s">
        <v>26</v>
      </c>
      <c r="F41" s="508"/>
      <c r="G41" s="235" t="s">
        <v>26</v>
      </c>
      <c r="H41" s="526"/>
      <c r="I41" s="564"/>
      <c r="J41" s="565"/>
      <c r="K41" s="235" t="s">
        <v>634</v>
      </c>
      <c r="L41" s="235" t="s">
        <v>625</v>
      </c>
      <c r="M41" s="235" t="s">
        <v>26</v>
      </c>
      <c r="N41" s="235" t="s">
        <v>638</v>
      </c>
      <c r="O41" s="250" t="s">
        <v>620</v>
      </c>
      <c r="P41" s="141" t="s">
        <v>730</v>
      </c>
      <c r="Q41" s="576"/>
    </row>
    <row r="42" spans="1:21" ht="27.6" x14ac:dyDescent="0.3">
      <c r="A42" s="561"/>
      <c r="B42" s="230">
        <v>2020</v>
      </c>
      <c r="C42" s="75">
        <v>25500</v>
      </c>
      <c r="D42" s="75">
        <v>28800</v>
      </c>
      <c r="E42" s="235" t="s">
        <v>26</v>
      </c>
      <c r="F42" s="235" t="s">
        <v>26</v>
      </c>
      <c r="G42" s="50">
        <f>((C42+D42)/2)/17277</f>
        <v>1.5714533773224517</v>
      </c>
      <c r="H42" s="526"/>
      <c r="I42" s="564"/>
      <c r="J42" s="565"/>
      <c r="K42" s="235" t="s">
        <v>634</v>
      </c>
      <c r="L42" s="235" t="s">
        <v>625</v>
      </c>
      <c r="M42" s="235" t="s">
        <v>26</v>
      </c>
      <c r="N42" s="235" t="s">
        <v>638</v>
      </c>
      <c r="O42" s="250" t="s">
        <v>620</v>
      </c>
      <c r="P42" s="141" t="s">
        <v>730</v>
      </c>
      <c r="Q42" s="576"/>
      <c r="R42" s="73"/>
    </row>
    <row r="43" spans="1:21" ht="27.6" x14ac:dyDescent="0.3">
      <c r="A43" s="561"/>
      <c r="B43" s="230">
        <v>2021</v>
      </c>
      <c r="C43" s="75">
        <v>23000</v>
      </c>
      <c r="D43" s="75">
        <v>25600</v>
      </c>
      <c r="E43" s="235" t="s">
        <v>26</v>
      </c>
      <c r="F43" s="235" t="s">
        <v>26</v>
      </c>
      <c r="G43" s="50">
        <f>((C43+D43)/2)/17277</f>
        <v>1.406494183017885</v>
      </c>
      <c r="H43" s="526"/>
      <c r="I43" s="564"/>
      <c r="J43" s="565"/>
      <c r="K43" s="235" t="s">
        <v>634</v>
      </c>
      <c r="L43" s="235" t="s">
        <v>625</v>
      </c>
      <c r="M43" s="235" t="s">
        <v>26</v>
      </c>
      <c r="N43" s="235" t="s">
        <v>638</v>
      </c>
      <c r="O43" s="250" t="s">
        <v>620</v>
      </c>
      <c r="P43" s="141" t="s">
        <v>730</v>
      </c>
      <c r="Q43" s="576"/>
    </row>
    <row r="44" spans="1:21" ht="27.6" x14ac:dyDescent="0.3">
      <c r="A44" s="561"/>
      <c r="B44" s="230">
        <v>2022</v>
      </c>
      <c r="C44" s="75">
        <v>18200</v>
      </c>
      <c r="D44" s="75">
        <v>21350</v>
      </c>
      <c r="E44" s="235" t="s">
        <v>26</v>
      </c>
      <c r="F44" s="235" t="s">
        <v>26</v>
      </c>
      <c r="G44" s="50">
        <f>((C44+D44)/2)/17277</f>
        <v>1.1445852867974764</v>
      </c>
      <c r="H44" s="526"/>
      <c r="I44" s="564"/>
      <c r="J44" s="565"/>
      <c r="K44" s="235" t="s">
        <v>634</v>
      </c>
      <c r="L44" s="235" t="s">
        <v>625</v>
      </c>
      <c r="M44" s="235" t="s">
        <v>26</v>
      </c>
      <c r="N44" s="235" t="s">
        <v>638</v>
      </c>
      <c r="O44" s="250" t="s">
        <v>620</v>
      </c>
      <c r="P44" s="141" t="s">
        <v>730</v>
      </c>
      <c r="Q44" s="576"/>
    </row>
    <row r="45" spans="1:21" ht="27.6" x14ac:dyDescent="0.3">
      <c r="A45" s="561"/>
      <c r="B45" s="250" t="s">
        <v>623</v>
      </c>
      <c r="C45" s="76">
        <f>SUM(C42:C44)</f>
        <v>66700</v>
      </c>
      <c r="D45" s="76">
        <f>SUM(D42:D44)</f>
        <v>75750</v>
      </c>
      <c r="E45" s="235" t="s">
        <v>26</v>
      </c>
      <c r="F45" s="235" t="s">
        <v>26</v>
      </c>
      <c r="G45" s="50">
        <f>((C45+D45)/2)/17277</f>
        <v>4.1225328471378129</v>
      </c>
      <c r="H45" s="527"/>
      <c r="I45" s="566"/>
      <c r="J45" s="567"/>
      <c r="K45" s="235" t="s">
        <v>634</v>
      </c>
      <c r="L45" s="235" t="s">
        <v>625</v>
      </c>
      <c r="M45" s="235" t="s">
        <v>26</v>
      </c>
      <c r="N45" s="235" t="s">
        <v>638</v>
      </c>
      <c r="O45" s="250" t="s">
        <v>620</v>
      </c>
      <c r="P45" s="141" t="s">
        <v>730</v>
      </c>
      <c r="Q45" s="577"/>
    </row>
    <row r="46" spans="1:21" ht="27.6" x14ac:dyDescent="0.3">
      <c r="A46" s="561" t="s">
        <v>734</v>
      </c>
      <c r="B46" s="234" t="s">
        <v>616</v>
      </c>
      <c r="C46" s="234" t="s">
        <v>26</v>
      </c>
      <c r="D46" s="234" t="s">
        <v>26</v>
      </c>
      <c r="E46" s="234" t="s">
        <v>26</v>
      </c>
      <c r="F46" s="234" t="s">
        <v>26</v>
      </c>
      <c r="G46" s="234" t="s">
        <v>26</v>
      </c>
      <c r="H46" s="515" t="s">
        <v>716</v>
      </c>
      <c r="I46" s="568" t="s">
        <v>628</v>
      </c>
      <c r="J46" s="569"/>
      <c r="K46" s="234" t="s">
        <v>634</v>
      </c>
      <c r="L46" s="234" t="s">
        <v>618</v>
      </c>
      <c r="M46" s="234" t="s">
        <v>619</v>
      </c>
      <c r="N46" s="234" t="s">
        <v>26</v>
      </c>
      <c r="O46" s="249" t="s">
        <v>620</v>
      </c>
      <c r="P46" s="107" t="s">
        <v>621</v>
      </c>
      <c r="Q46" s="558" t="s">
        <v>731</v>
      </c>
    </row>
    <row r="47" spans="1:21" ht="27.6" x14ac:dyDescent="0.3">
      <c r="A47" s="561"/>
      <c r="B47" s="234" t="s">
        <v>622</v>
      </c>
      <c r="C47" s="522" t="s">
        <v>26</v>
      </c>
      <c r="D47" s="523"/>
      <c r="E47" s="522" t="s">
        <v>26</v>
      </c>
      <c r="F47" s="523"/>
      <c r="G47" s="234" t="s">
        <v>26</v>
      </c>
      <c r="H47" s="516"/>
      <c r="I47" s="570"/>
      <c r="J47" s="571"/>
      <c r="K47" s="234" t="s">
        <v>634</v>
      </c>
      <c r="L47" s="234" t="s">
        <v>618</v>
      </c>
      <c r="M47" s="234" t="s">
        <v>619</v>
      </c>
      <c r="N47" s="234" t="s">
        <v>26</v>
      </c>
      <c r="O47" s="249" t="s">
        <v>620</v>
      </c>
      <c r="P47" s="107" t="s">
        <v>621</v>
      </c>
      <c r="Q47" s="559"/>
    </row>
    <row r="48" spans="1:21" ht="27.6" x14ac:dyDescent="0.3">
      <c r="A48" s="561"/>
      <c r="B48" s="234">
        <v>2020</v>
      </c>
      <c r="C48" s="241">
        <v>475</v>
      </c>
      <c r="D48" s="241">
        <v>575</v>
      </c>
      <c r="E48" s="234" t="s">
        <v>26</v>
      </c>
      <c r="F48" s="234" t="s">
        <v>26</v>
      </c>
      <c r="G48" s="49">
        <f>((C48+D48)/2)/17277</f>
        <v>3.0387220003472826E-2</v>
      </c>
      <c r="H48" s="516"/>
      <c r="I48" s="570"/>
      <c r="J48" s="571"/>
      <c r="K48" s="234" t="s">
        <v>634</v>
      </c>
      <c r="L48" s="234" t="s">
        <v>618</v>
      </c>
      <c r="M48" s="234" t="s">
        <v>619</v>
      </c>
      <c r="N48" s="234" t="s">
        <v>26</v>
      </c>
      <c r="O48" s="249" t="s">
        <v>620</v>
      </c>
      <c r="P48" s="107" t="s">
        <v>621</v>
      </c>
      <c r="Q48" s="559"/>
    </row>
    <row r="49" spans="1:17" ht="27.6" x14ac:dyDescent="0.3">
      <c r="A49" s="561"/>
      <c r="B49" s="234">
        <v>2021</v>
      </c>
      <c r="C49" s="241">
        <v>475</v>
      </c>
      <c r="D49" s="241">
        <v>575</v>
      </c>
      <c r="E49" s="234" t="s">
        <v>26</v>
      </c>
      <c r="F49" s="234" t="s">
        <v>26</v>
      </c>
      <c r="G49" s="49">
        <f t="shared" ref="G49:G51" si="6">((C49+D49)/2)/17277</f>
        <v>3.0387220003472826E-2</v>
      </c>
      <c r="H49" s="516"/>
      <c r="I49" s="570"/>
      <c r="J49" s="571"/>
      <c r="K49" s="234" t="s">
        <v>634</v>
      </c>
      <c r="L49" s="234" t="s">
        <v>618</v>
      </c>
      <c r="M49" s="234" t="s">
        <v>619</v>
      </c>
      <c r="N49" s="234" t="s">
        <v>26</v>
      </c>
      <c r="O49" s="249" t="s">
        <v>620</v>
      </c>
      <c r="P49" s="107" t="s">
        <v>621</v>
      </c>
      <c r="Q49" s="559"/>
    </row>
    <row r="50" spans="1:17" ht="27.6" x14ac:dyDescent="0.3">
      <c r="A50" s="561"/>
      <c r="B50" s="234">
        <v>2022</v>
      </c>
      <c r="C50" s="241">
        <v>475</v>
      </c>
      <c r="D50" s="241">
        <v>575</v>
      </c>
      <c r="E50" s="234" t="s">
        <v>26</v>
      </c>
      <c r="F50" s="234" t="s">
        <v>26</v>
      </c>
      <c r="G50" s="49">
        <f t="shared" si="6"/>
        <v>3.0387220003472826E-2</v>
      </c>
      <c r="H50" s="516"/>
      <c r="I50" s="570"/>
      <c r="J50" s="571"/>
      <c r="K50" s="234" t="s">
        <v>634</v>
      </c>
      <c r="L50" s="234" t="s">
        <v>618</v>
      </c>
      <c r="M50" s="234" t="s">
        <v>619</v>
      </c>
      <c r="N50" s="234" t="s">
        <v>26</v>
      </c>
      <c r="O50" s="249" t="s">
        <v>620</v>
      </c>
      <c r="P50" s="107" t="s">
        <v>621</v>
      </c>
      <c r="Q50" s="559"/>
    </row>
    <row r="51" spans="1:17" ht="27.6" x14ac:dyDescent="0.3">
      <c r="A51" s="561"/>
      <c r="B51" s="249" t="s">
        <v>623</v>
      </c>
      <c r="C51" s="241">
        <f>SUM(C48:C50)</f>
        <v>1425</v>
      </c>
      <c r="D51" s="241">
        <f>SUM(D48:D50)</f>
        <v>1725</v>
      </c>
      <c r="E51" s="234" t="s">
        <v>26</v>
      </c>
      <c r="F51" s="234" t="s">
        <v>26</v>
      </c>
      <c r="G51" s="49">
        <f t="shared" si="6"/>
        <v>9.1161660010418477E-2</v>
      </c>
      <c r="H51" s="517"/>
      <c r="I51" s="572"/>
      <c r="J51" s="573"/>
      <c r="K51" s="234" t="s">
        <v>634</v>
      </c>
      <c r="L51" s="234" t="s">
        <v>618</v>
      </c>
      <c r="M51" s="234" t="s">
        <v>619</v>
      </c>
      <c r="N51" s="234" t="s">
        <v>26</v>
      </c>
      <c r="O51" s="249" t="s">
        <v>620</v>
      </c>
      <c r="P51" s="107" t="s">
        <v>621</v>
      </c>
      <c r="Q51" s="560"/>
    </row>
    <row r="52" spans="1:17" ht="27.6" x14ac:dyDescent="0.3">
      <c r="A52" s="561" t="s">
        <v>735</v>
      </c>
      <c r="B52" s="235" t="s">
        <v>616</v>
      </c>
      <c r="C52" s="235" t="s">
        <v>641</v>
      </c>
      <c r="D52" s="235" t="s">
        <v>641</v>
      </c>
      <c r="E52" s="235" t="s">
        <v>26</v>
      </c>
      <c r="F52" s="235" t="s">
        <v>26</v>
      </c>
      <c r="G52" s="235" t="s">
        <v>26</v>
      </c>
      <c r="H52" s="525" t="s">
        <v>722</v>
      </c>
      <c r="I52" s="235" t="s">
        <v>26</v>
      </c>
      <c r="J52" s="235" t="s">
        <v>26</v>
      </c>
      <c r="K52" s="235" t="s">
        <v>634</v>
      </c>
      <c r="L52" s="235" t="s">
        <v>618</v>
      </c>
      <c r="M52" s="235" t="s">
        <v>619</v>
      </c>
      <c r="N52" s="235" t="s">
        <v>26</v>
      </c>
      <c r="O52" s="250" t="s">
        <v>620</v>
      </c>
      <c r="P52" s="103" t="s">
        <v>736</v>
      </c>
      <c r="Q52" s="195"/>
    </row>
    <row r="53" spans="1:17" ht="27.6" x14ac:dyDescent="0.3">
      <c r="A53" s="561"/>
      <c r="B53" s="235" t="s">
        <v>622</v>
      </c>
      <c r="C53" s="507" t="s">
        <v>641</v>
      </c>
      <c r="D53" s="508"/>
      <c r="E53" s="235" t="s">
        <v>26</v>
      </c>
      <c r="F53" s="235" t="s">
        <v>26</v>
      </c>
      <c r="G53" s="235" t="s">
        <v>26</v>
      </c>
      <c r="H53" s="526"/>
      <c r="I53" s="235" t="s">
        <v>26</v>
      </c>
      <c r="J53" s="235" t="s">
        <v>26</v>
      </c>
      <c r="K53" s="235" t="s">
        <v>634</v>
      </c>
      <c r="L53" s="235" t="s">
        <v>618</v>
      </c>
      <c r="M53" s="235" t="s">
        <v>619</v>
      </c>
      <c r="N53" s="235" t="s">
        <v>26</v>
      </c>
      <c r="O53" s="250" t="s">
        <v>620</v>
      </c>
      <c r="P53" s="103" t="s">
        <v>736</v>
      </c>
      <c r="Q53" s="195"/>
    </row>
    <row r="54" spans="1:17" ht="27.6" x14ac:dyDescent="0.3">
      <c r="A54" s="561"/>
      <c r="B54" s="235">
        <v>2020</v>
      </c>
      <c r="C54" s="235" t="s">
        <v>641</v>
      </c>
      <c r="D54" s="235" t="s">
        <v>641</v>
      </c>
      <c r="E54" s="235" t="s">
        <v>26</v>
      </c>
      <c r="F54" s="235" t="s">
        <v>26</v>
      </c>
      <c r="G54" s="235" t="s">
        <v>26</v>
      </c>
      <c r="H54" s="526"/>
      <c r="I54" s="235" t="s">
        <v>26</v>
      </c>
      <c r="J54" s="235" t="s">
        <v>26</v>
      </c>
      <c r="K54" s="235" t="s">
        <v>634</v>
      </c>
      <c r="L54" s="235" t="s">
        <v>618</v>
      </c>
      <c r="M54" s="235" t="s">
        <v>619</v>
      </c>
      <c r="N54" s="235" t="s">
        <v>26</v>
      </c>
      <c r="O54" s="250" t="s">
        <v>620</v>
      </c>
      <c r="P54" s="103" t="s">
        <v>736</v>
      </c>
      <c r="Q54" s="195"/>
    </row>
    <row r="55" spans="1:17" ht="27.6" x14ac:dyDescent="0.3">
      <c r="A55" s="561"/>
      <c r="B55" s="235">
        <v>2021</v>
      </c>
      <c r="C55" s="235" t="s">
        <v>641</v>
      </c>
      <c r="D55" s="235" t="s">
        <v>641</v>
      </c>
      <c r="E55" s="235" t="s">
        <v>26</v>
      </c>
      <c r="F55" s="235" t="s">
        <v>26</v>
      </c>
      <c r="G55" s="235" t="s">
        <v>26</v>
      </c>
      <c r="H55" s="526"/>
      <c r="I55" s="235" t="s">
        <v>26</v>
      </c>
      <c r="J55" s="235" t="s">
        <v>26</v>
      </c>
      <c r="K55" s="235" t="s">
        <v>634</v>
      </c>
      <c r="L55" s="235" t="s">
        <v>618</v>
      </c>
      <c r="M55" s="235" t="s">
        <v>619</v>
      </c>
      <c r="N55" s="235" t="s">
        <v>26</v>
      </c>
      <c r="O55" s="250" t="s">
        <v>620</v>
      </c>
      <c r="P55" s="103" t="s">
        <v>736</v>
      </c>
      <c r="Q55" s="195"/>
    </row>
    <row r="56" spans="1:17" ht="27.6" x14ac:dyDescent="0.3">
      <c r="A56" s="561"/>
      <c r="B56" s="235">
        <v>2022</v>
      </c>
      <c r="C56" s="235" t="s">
        <v>641</v>
      </c>
      <c r="D56" s="235" t="s">
        <v>641</v>
      </c>
      <c r="E56" s="235" t="s">
        <v>26</v>
      </c>
      <c r="F56" s="235" t="s">
        <v>26</v>
      </c>
      <c r="G56" s="235" t="s">
        <v>26</v>
      </c>
      <c r="H56" s="526"/>
      <c r="I56" s="235" t="s">
        <v>26</v>
      </c>
      <c r="J56" s="235" t="s">
        <v>26</v>
      </c>
      <c r="K56" s="235" t="s">
        <v>634</v>
      </c>
      <c r="L56" s="235" t="s">
        <v>618</v>
      </c>
      <c r="M56" s="235" t="s">
        <v>619</v>
      </c>
      <c r="N56" s="235" t="s">
        <v>26</v>
      </c>
      <c r="O56" s="250" t="s">
        <v>620</v>
      </c>
      <c r="P56" s="103" t="s">
        <v>736</v>
      </c>
      <c r="Q56" s="195"/>
    </row>
    <row r="57" spans="1:17" ht="27.6" x14ac:dyDescent="0.3">
      <c r="A57" s="561"/>
      <c r="B57" s="250" t="s">
        <v>623</v>
      </c>
      <c r="C57" s="235" t="s">
        <v>641</v>
      </c>
      <c r="D57" s="235" t="s">
        <v>641</v>
      </c>
      <c r="E57" s="235" t="s">
        <v>26</v>
      </c>
      <c r="F57" s="235" t="s">
        <v>26</v>
      </c>
      <c r="G57" s="235" t="s">
        <v>26</v>
      </c>
      <c r="H57" s="527"/>
      <c r="I57" s="235" t="s">
        <v>26</v>
      </c>
      <c r="J57" s="235" t="s">
        <v>26</v>
      </c>
      <c r="K57" s="235" t="s">
        <v>634</v>
      </c>
      <c r="L57" s="235" t="s">
        <v>618</v>
      </c>
      <c r="M57" s="235" t="s">
        <v>619</v>
      </c>
      <c r="N57" s="235" t="s">
        <v>26</v>
      </c>
      <c r="O57" s="250" t="s">
        <v>620</v>
      </c>
      <c r="P57" s="103" t="s">
        <v>736</v>
      </c>
      <c r="Q57" s="195"/>
    </row>
  </sheetData>
  <mergeCells count="63">
    <mergeCell ref="A52:A57"/>
    <mergeCell ref="H52:H57"/>
    <mergeCell ref="C53:D53"/>
    <mergeCell ref="A46:A51"/>
    <mergeCell ref="H46:H51"/>
    <mergeCell ref="I46:J51"/>
    <mergeCell ref="Q46:Q51"/>
    <mergeCell ref="C47:D47"/>
    <mergeCell ref="E47:F47"/>
    <mergeCell ref="A40:A45"/>
    <mergeCell ref="H40:H45"/>
    <mergeCell ref="I40:J45"/>
    <mergeCell ref="Q40:Q45"/>
    <mergeCell ref="C41:D41"/>
    <mergeCell ref="E41:F41"/>
    <mergeCell ref="E29:F29"/>
    <mergeCell ref="A34:A39"/>
    <mergeCell ref="H34:H39"/>
    <mergeCell ref="I34:J39"/>
    <mergeCell ref="Q34:Q39"/>
    <mergeCell ref="C35:D35"/>
    <mergeCell ref="E35:F35"/>
    <mergeCell ref="A28:A33"/>
    <mergeCell ref="H28:H33"/>
    <mergeCell ref="I28:J33"/>
    <mergeCell ref="Q28:Q33"/>
    <mergeCell ref="C29:D29"/>
    <mergeCell ref="I22:J27"/>
    <mergeCell ref="A16:A21"/>
    <mergeCell ref="H16:H21"/>
    <mergeCell ref="I16:J21"/>
    <mergeCell ref="Q16:Q21"/>
    <mergeCell ref="C17:D17"/>
    <mergeCell ref="E17:F17"/>
    <mergeCell ref="Q22:Q27"/>
    <mergeCell ref="C23:D23"/>
    <mergeCell ref="A22:A27"/>
    <mergeCell ref="H22:H27"/>
    <mergeCell ref="A4:A9"/>
    <mergeCell ref="H4:H9"/>
    <mergeCell ref="A10:A15"/>
    <mergeCell ref="H10:H15"/>
    <mergeCell ref="C11:D11"/>
    <mergeCell ref="P10:P15"/>
    <mergeCell ref="Q4:Q9"/>
    <mergeCell ref="C5:D5"/>
    <mergeCell ref="E5:F5"/>
    <mergeCell ref="O2:O3"/>
    <mergeCell ref="P2:P3"/>
    <mergeCell ref="Q2:Q3"/>
    <mergeCell ref="A1:Q1"/>
    <mergeCell ref="A2:A3"/>
    <mergeCell ref="B2:B3"/>
    <mergeCell ref="C2:D2"/>
    <mergeCell ref="E2:F2"/>
    <mergeCell ref="G2:G3"/>
    <mergeCell ref="H2:H3"/>
    <mergeCell ref="I2:I3"/>
    <mergeCell ref="J2:J3"/>
    <mergeCell ref="K2:K3"/>
    <mergeCell ref="L2:L3"/>
    <mergeCell ref="M2:M3"/>
    <mergeCell ref="N2:N3"/>
  </mergeCells>
  <printOptions horizontalCentered="1"/>
  <pageMargins left="0.5" right="0.5" top="1" bottom="0.75" header="0" footer="0.5"/>
  <pageSetup paperSize="5" scale="99" orientation="landscape" horizontalDpi="1200" verticalDpi="1200" r:id="rId1"/>
  <headerFooter>
    <oddFooter>&amp;L&amp;ESDGE 2020 WMP - &amp;A&amp;C&amp;P&amp;R&amp;D</oddFooter>
  </headerFooter>
  <rowBreaks count="2" manualBreakCount="2">
    <brk id="15" max="16383" man="1"/>
    <brk id="4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7891-D488-4100-B467-7F0C6DEC14DE}">
  <dimension ref="A1:J49"/>
  <sheetViews>
    <sheetView view="pageLayout" topLeftCell="A7" zoomScale="70" zoomScaleNormal="100" zoomScaleSheetLayoutView="100" zoomScalePageLayoutView="70" workbookViewId="0">
      <selection activeCell="P9" sqref="P9"/>
    </sheetView>
  </sheetViews>
  <sheetFormatPr defaultRowHeight="14.4" x14ac:dyDescent="0.3"/>
  <cols>
    <col min="1" max="1" width="14.5546875" customWidth="1"/>
    <col min="2" max="2" width="10.5546875" bestFit="1" customWidth="1"/>
    <col min="3" max="4" width="6.44140625" bestFit="1" customWidth="1"/>
    <col min="5" max="6" width="7.44140625" bestFit="1" customWidth="1"/>
    <col min="7" max="8" width="6.44140625" bestFit="1" customWidth="1"/>
    <col min="9" max="10" width="7.44140625" customWidth="1"/>
  </cols>
  <sheetData>
    <row r="1" spans="1:10" ht="18" x14ac:dyDescent="0.35">
      <c r="A1" s="414" t="s">
        <v>737</v>
      </c>
      <c r="B1" s="415"/>
      <c r="C1" s="415"/>
      <c r="D1" s="415"/>
      <c r="E1" s="415"/>
      <c r="F1" s="415"/>
      <c r="G1" s="415"/>
      <c r="H1" s="415"/>
      <c r="I1" s="415"/>
      <c r="J1" s="416"/>
    </row>
    <row r="2" spans="1:10" ht="57.75" customHeight="1" x14ac:dyDescent="0.3">
      <c r="A2" s="539" t="s">
        <v>600</v>
      </c>
      <c r="B2" s="539" t="s">
        <v>291</v>
      </c>
      <c r="C2" s="539" t="s">
        <v>738</v>
      </c>
      <c r="D2" s="539"/>
      <c r="E2" s="539" t="s">
        <v>739</v>
      </c>
      <c r="F2" s="539"/>
      <c r="G2" s="539" t="s">
        <v>740</v>
      </c>
      <c r="H2" s="548"/>
      <c r="I2" s="584"/>
      <c r="J2" s="585"/>
    </row>
    <row r="3" spans="1:10" x14ac:dyDescent="0.3">
      <c r="A3" s="498"/>
      <c r="B3" s="498"/>
      <c r="C3" s="54" t="s">
        <v>613</v>
      </c>
      <c r="D3" s="54" t="s">
        <v>614</v>
      </c>
      <c r="E3" s="54" t="s">
        <v>613</v>
      </c>
      <c r="F3" s="54" t="s">
        <v>614</v>
      </c>
      <c r="G3" s="54" t="s">
        <v>613</v>
      </c>
      <c r="H3" s="205" t="s">
        <v>614</v>
      </c>
      <c r="I3" s="584"/>
      <c r="J3" s="585"/>
    </row>
    <row r="4" spans="1:10" x14ac:dyDescent="0.3">
      <c r="A4" s="413" t="s">
        <v>715</v>
      </c>
      <c r="B4" s="234" t="s">
        <v>646</v>
      </c>
      <c r="C4" s="247">
        <v>16000</v>
      </c>
      <c r="D4" s="247">
        <v>17000</v>
      </c>
      <c r="E4" s="247">
        <v>85000</v>
      </c>
      <c r="F4" s="247">
        <v>87000</v>
      </c>
      <c r="G4" s="247">
        <v>18000</v>
      </c>
      <c r="H4" s="248">
        <v>20000</v>
      </c>
      <c r="I4" s="584"/>
      <c r="J4" s="585"/>
    </row>
    <row r="5" spans="1:10" x14ac:dyDescent="0.3">
      <c r="A5" s="413"/>
      <c r="B5" s="234" t="s">
        <v>647</v>
      </c>
      <c r="C5" s="586">
        <v>16329</v>
      </c>
      <c r="D5" s="586"/>
      <c r="E5" s="586">
        <v>86401</v>
      </c>
      <c r="F5" s="586"/>
      <c r="G5" s="586">
        <v>19729</v>
      </c>
      <c r="H5" s="587"/>
      <c r="I5" s="584"/>
      <c r="J5" s="585"/>
    </row>
    <row r="6" spans="1:10" x14ac:dyDescent="0.3">
      <c r="A6" s="413"/>
      <c r="B6" s="234">
        <v>2020</v>
      </c>
      <c r="C6" s="247">
        <v>17000</v>
      </c>
      <c r="D6" s="247">
        <v>18000</v>
      </c>
      <c r="E6" s="247">
        <v>85000</v>
      </c>
      <c r="F6" s="247">
        <v>87000</v>
      </c>
      <c r="G6" s="247">
        <v>17000</v>
      </c>
      <c r="H6" s="248">
        <v>19000</v>
      </c>
      <c r="I6" s="584"/>
      <c r="J6" s="585"/>
    </row>
    <row r="7" spans="1:10" x14ac:dyDescent="0.3">
      <c r="A7" s="413"/>
      <c r="B7" s="234">
        <v>2021</v>
      </c>
      <c r="C7" s="247">
        <v>22000</v>
      </c>
      <c r="D7" s="247">
        <v>23000</v>
      </c>
      <c r="E7" s="247">
        <v>85000</v>
      </c>
      <c r="F7" s="247">
        <v>87000</v>
      </c>
      <c r="G7" s="247">
        <v>7000</v>
      </c>
      <c r="H7" s="248">
        <v>9000</v>
      </c>
      <c r="I7" s="584"/>
      <c r="J7" s="585"/>
    </row>
    <row r="8" spans="1:10" x14ac:dyDescent="0.3">
      <c r="A8" s="413"/>
      <c r="B8" s="234">
        <v>2022</v>
      </c>
      <c r="C8" s="247">
        <v>18000</v>
      </c>
      <c r="D8" s="247">
        <v>19000</v>
      </c>
      <c r="E8" s="247">
        <v>85000</v>
      </c>
      <c r="F8" s="247">
        <v>87000</v>
      </c>
      <c r="G8" s="247">
        <v>300</v>
      </c>
      <c r="H8" s="248">
        <v>500</v>
      </c>
      <c r="I8" s="584"/>
      <c r="J8" s="585"/>
    </row>
    <row r="9" spans="1:10" ht="27.6" x14ac:dyDescent="0.3">
      <c r="A9" s="413"/>
      <c r="B9" s="249" t="s">
        <v>648</v>
      </c>
      <c r="C9" s="247">
        <f>SUM(C6:C8)</f>
        <v>57000</v>
      </c>
      <c r="D9" s="247">
        <f>SUM(D6:D8)</f>
        <v>60000</v>
      </c>
      <c r="E9" s="247">
        <f t="shared" ref="E9:F9" si="0">SUM(E6:E8)</f>
        <v>255000</v>
      </c>
      <c r="F9" s="247">
        <f t="shared" si="0"/>
        <v>261000</v>
      </c>
      <c r="G9" s="247">
        <f>SUM(G6:G8)</f>
        <v>24300</v>
      </c>
      <c r="H9" s="248">
        <f>SUM(H6:H8)</f>
        <v>28500</v>
      </c>
      <c r="I9" s="584"/>
      <c r="J9" s="585"/>
    </row>
    <row r="10" spans="1:10" ht="67.2" customHeight="1" x14ac:dyDescent="0.3">
      <c r="A10" s="591" t="s">
        <v>600</v>
      </c>
      <c r="B10" s="591" t="s">
        <v>291</v>
      </c>
      <c r="C10" s="591" t="s">
        <v>741</v>
      </c>
      <c r="D10" s="591"/>
      <c r="E10" s="591" t="s">
        <v>742</v>
      </c>
      <c r="F10" s="591"/>
      <c r="G10" s="591" t="s">
        <v>743</v>
      </c>
      <c r="H10" s="591"/>
      <c r="I10" s="588" t="s">
        <v>744</v>
      </c>
      <c r="J10" s="588"/>
    </row>
    <row r="11" spans="1:10" x14ac:dyDescent="0.3">
      <c r="A11" s="591"/>
      <c r="B11" s="591"/>
      <c r="C11" s="77" t="s">
        <v>613</v>
      </c>
      <c r="D11" s="77" t="s">
        <v>614</v>
      </c>
      <c r="E11" s="77" t="s">
        <v>613</v>
      </c>
      <c r="F11" s="77" t="s">
        <v>614</v>
      </c>
      <c r="G11" s="77" t="s">
        <v>613</v>
      </c>
      <c r="H11" s="77" t="s">
        <v>614</v>
      </c>
      <c r="I11" s="77" t="s">
        <v>613</v>
      </c>
      <c r="J11" s="77" t="s">
        <v>614</v>
      </c>
    </row>
    <row r="12" spans="1:10" x14ac:dyDescent="0.3">
      <c r="A12" s="589" t="s">
        <v>721</v>
      </c>
      <c r="B12" s="246" t="s">
        <v>646</v>
      </c>
      <c r="C12" s="246" t="s">
        <v>745</v>
      </c>
      <c r="D12" s="246">
        <v>140</v>
      </c>
      <c r="E12" s="246" t="s">
        <v>746</v>
      </c>
      <c r="F12" s="246">
        <v>136</v>
      </c>
      <c r="G12" s="246" t="s">
        <v>747</v>
      </c>
      <c r="H12" s="246" t="s">
        <v>748</v>
      </c>
      <c r="I12" s="246">
        <v>21</v>
      </c>
      <c r="J12" s="246">
        <v>33</v>
      </c>
    </row>
    <row r="13" spans="1:10" x14ac:dyDescent="0.3">
      <c r="A13" s="589"/>
      <c r="B13" s="246" t="s">
        <v>647</v>
      </c>
      <c r="C13" s="590" t="s">
        <v>749</v>
      </c>
      <c r="D13" s="590"/>
      <c r="E13" s="590" t="s">
        <v>750</v>
      </c>
      <c r="F13" s="590"/>
      <c r="G13" s="590" t="s">
        <v>751</v>
      </c>
      <c r="H13" s="590"/>
      <c r="I13" s="590">
        <v>27</v>
      </c>
      <c r="J13" s="590"/>
    </row>
    <row r="14" spans="1:10" x14ac:dyDescent="0.3">
      <c r="A14" s="589"/>
      <c r="B14" s="246">
        <v>2020</v>
      </c>
      <c r="C14" s="246">
        <v>94</v>
      </c>
      <c r="D14" s="246">
        <v>140</v>
      </c>
      <c r="E14" s="246">
        <v>90</v>
      </c>
      <c r="F14" s="246">
        <v>136</v>
      </c>
      <c r="G14" s="246">
        <v>33</v>
      </c>
      <c r="H14" s="246">
        <v>49</v>
      </c>
      <c r="I14" s="246">
        <v>21</v>
      </c>
      <c r="J14" s="246">
        <v>33</v>
      </c>
    </row>
    <row r="15" spans="1:10" x14ac:dyDescent="0.3">
      <c r="A15" s="589"/>
      <c r="B15" s="246">
        <v>2021</v>
      </c>
      <c r="C15" s="246">
        <v>94</v>
      </c>
      <c r="D15" s="246">
        <v>140</v>
      </c>
      <c r="E15" s="246">
        <v>90</v>
      </c>
      <c r="F15" s="246">
        <v>136</v>
      </c>
      <c r="G15" s="246">
        <v>30</v>
      </c>
      <c r="H15" s="246">
        <v>46</v>
      </c>
      <c r="I15" s="246">
        <v>21</v>
      </c>
      <c r="J15" s="246">
        <v>33</v>
      </c>
    </row>
    <row r="16" spans="1:10" x14ac:dyDescent="0.3">
      <c r="A16" s="589"/>
      <c r="B16" s="246">
        <v>2022</v>
      </c>
      <c r="C16" s="246">
        <v>94</v>
      </c>
      <c r="D16" s="246">
        <v>140</v>
      </c>
      <c r="E16" s="246">
        <v>90</v>
      </c>
      <c r="F16" s="246">
        <v>136</v>
      </c>
      <c r="G16" s="246">
        <v>30</v>
      </c>
      <c r="H16" s="246">
        <v>46</v>
      </c>
      <c r="I16" s="246">
        <v>21</v>
      </c>
      <c r="J16" s="246">
        <v>33</v>
      </c>
    </row>
    <row r="17" spans="1:10" ht="27.6" x14ac:dyDescent="0.3">
      <c r="A17" s="589"/>
      <c r="B17" s="78" t="s">
        <v>648</v>
      </c>
      <c r="C17" s="246">
        <v>282</v>
      </c>
      <c r="D17" s="246">
        <v>420</v>
      </c>
      <c r="E17" s="246">
        <v>270</v>
      </c>
      <c r="F17" s="246">
        <v>408</v>
      </c>
      <c r="G17" s="246">
        <v>93</v>
      </c>
      <c r="H17" s="246">
        <v>141</v>
      </c>
      <c r="I17" s="246">
        <v>63</v>
      </c>
      <c r="J17" s="246">
        <v>99</v>
      </c>
    </row>
    <row r="18" spans="1:10" ht="84" customHeight="1" x14ac:dyDescent="0.3">
      <c r="A18" s="498" t="s">
        <v>600</v>
      </c>
      <c r="B18" s="498" t="s">
        <v>291</v>
      </c>
      <c r="C18" s="498" t="s">
        <v>752</v>
      </c>
      <c r="D18" s="498"/>
      <c r="E18" s="209"/>
      <c r="F18" s="210"/>
      <c r="G18" s="210"/>
      <c r="H18" s="210"/>
      <c r="I18" s="210"/>
      <c r="J18" s="211"/>
    </row>
    <row r="19" spans="1:10" ht="30.45" customHeight="1" x14ac:dyDescent="0.3">
      <c r="A19" s="498"/>
      <c r="B19" s="498"/>
      <c r="C19" s="54" t="s">
        <v>613</v>
      </c>
      <c r="D19" s="54" t="s">
        <v>614</v>
      </c>
      <c r="E19" s="212"/>
      <c r="F19" s="166"/>
      <c r="G19" s="166"/>
      <c r="H19" s="166"/>
      <c r="I19" s="166"/>
      <c r="J19" s="71"/>
    </row>
    <row r="20" spans="1:10" x14ac:dyDescent="0.3">
      <c r="A20" s="413" t="s">
        <v>724</v>
      </c>
      <c r="B20" s="234" t="s">
        <v>646</v>
      </c>
      <c r="C20" s="234" t="s">
        <v>26</v>
      </c>
      <c r="D20" s="234" t="s">
        <v>26</v>
      </c>
      <c r="E20" s="212"/>
      <c r="F20" s="166"/>
      <c r="G20" s="166"/>
      <c r="H20" s="166"/>
      <c r="I20" s="166"/>
      <c r="J20" s="71"/>
    </row>
    <row r="21" spans="1:10" x14ac:dyDescent="0.3">
      <c r="A21" s="413"/>
      <c r="B21" s="234" t="s">
        <v>647</v>
      </c>
      <c r="C21" s="518" t="s">
        <v>26</v>
      </c>
      <c r="D21" s="518"/>
      <c r="E21" s="212"/>
      <c r="F21" s="166"/>
      <c r="G21" s="166"/>
      <c r="H21" s="166"/>
      <c r="I21" s="166"/>
      <c r="J21" s="71"/>
    </row>
    <row r="22" spans="1:10" x14ac:dyDescent="0.3">
      <c r="A22" s="413"/>
      <c r="B22" s="234">
        <v>2020</v>
      </c>
      <c r="C22" s="234">
        <v>7000</v>
      </c>
      <c r="D22" s="234">
        <v>10000</v>
      </c>
      <c r="E22" s="212"/>
      <c r="F22" s="166"/>
      <c r="G22" s="166"/>
      <c r="H22" s="166"/>
      <c r="I22" s="166"/>
      <c r="J22" s="71"/>
    </row>
    <row r="23" spans="1:10" x14ac:dyDescent="0.3">
      <c r="A23" s="413"/>
      <c r="B23" s="234">
        <v>2021</v>
      </c>
      <c r="C23" s="234">
        <v>7000</v>
      </c>
      <c r="D23" s="234">
        <v>10000</v>
      </c>
      <c r="E23" s="212"/>
      <c r="F23" s="166"/>
      <c r="G23" s="166"/>
      <c r="H23" s="166"/>
      <c r="I23" s="166"/>
      <c r="J23" s="71"/>
    </row>
    <row r="24" spans="1:10" x14ac:dyDescent="0.3">
      <c r="A24" s="413"/>
      <c r="B24" s="234">
        <v>2022</v>
      </c>
      <c r="C24" s="234">
        <v>7000</v>
      </c>
      <c r="D24" s="234">
        <v>10000</v>
      </c>
      <c r="E24" s="212"/>
      <c r="F24" s="166"/>
      <c r="G24" s="166"/>
      <c r="H24" s="166"/>
      <c r="I24" s="166"/>
      <c r="J24" s="71"/>
    </row>
    <row r="25" spans="1:10" ht="27.6" x14ac:dyDescent="0.3">
      <c r="A25" s="413"/>
      <c r="B25" s="249" t="s">
        <v>648</v>
      </c>
      <c r="C25" s="234">
        <f>SUM(C22:C24)</f>
        <v>21000</v>
      </c>
      <c r="D25" s="234">
        <f>SUM(D22:D24)</f>
        <v>30000</v>
      </c>
      <c r="E25" s="212"/>
      <c r="F25" s="166"/>
      <c r="G25" s="166"/>
      <c r="H25" s="166"/>
      <c r="I25" s="166"/>
      <c r="J25" s="71"/>
    </row>
    <row r="26" spans="1:10" ht="67.5" customHeight="1" x14ac:dyDescent="0.3">
      <c r="A26" s="498" t="s">
        <v>600</v>
      </c>
      <c r="B26" s="498" t="s">
        <v>291</v>
      </c>
      <c r="C26" s="498" t="s">
        <v>753</v>
      </c>
      <c r="D26" s="498"/>
      <c r="E26" s="212"/>
      <c r="F26" s="166"/>
      <c r="G26" s="166"/>
      <c r="H26" s="166"/>
      <c r="I26" s="166"/>
      <c r="J26" s="71"/>
    </row>
    <row r="27" spans="1:10" x14ac:dyDescent="0.3">
      <c r="A27" s="498"/>
      <c r="B27" s="498"/>
      <c r="C27" s="54" t="s">
        <v>613</v>
      </c>
      <c r="D27" s="54" t="s">
        <v>614</v>
      </c>
      <c r="E27" s="212"/>
      <c r="F27" s="166"/>
      <c r="G27" s="166"/>
      <c r="H27" s="166"/>
      <c r="I27" s="166"/>
      <c r="J27" s="71"/>
    </row>
    <row r="28" spans="1:10" x14ac:dyDescent="0.3">
      <c r="A28" s="413" t="s">
        <v>728</v>
      </c>
      <c r="B28" s="234" t="s">
        <v>646</v>
      </c>
      <c r="C28" s="234">
        <v>11000</v>
      </c>
      <c r="D28" s="234">
        <v>12000</v>
      </c>
      <c r="E28" s="212"/>
      <c r="F28" s="166"/>
      <c r="G28" s="166"/>
      <c r="H28" s="166"/>
      <c r="I28" s="166"/>
      <c r="J28" s="71"/>
    </row>
    <row r="29" spans="1:10" x14ac:dyDescent="0.3">
      <c r="A29" s="413"/>
      <c r="B29" s="234" t="s">
        <v>647</v>
      </c>
      <c r="C29" s="518">
        <v>15176</v>
      </c>
      <c r="D29" s="518"/>
      <c r="E29" s="212"/>
      <c r="F29" s="166"/>
      <c r="G29" s="166"/>
      <c r="H29" s="166"/>
      <c r="I29" s="166"/>
      <c r="J29" s="71"/>
    </row>
    <row r="30" spans="1:10" x14ac:dyDescent="0.3">
      <c r="A30" s="413"/>
      <c r="B30" s="234">
        <v>2020</v>
      </c>
      <c r="C30" s="234">
        <v>11000</v>
      </c>
      <c r="D30" s="234">
        <v>12000</v>
      </c>
      <c r="E30" s="212"/>
      <c r="F30" s="166"/>
      <c r="G30" s="166"/>
      <c r="H30" s="166"/>
      <c r="I30" s="166"/>
      <c r="J30" s="71"/>
    </row>
    <row r="31" spans="1:10" x14ac:dyDescent="0.3">
      <c r="A31" s="413"/>
      <c r="B31" s="234">
        <v>2021</v>
      </c>
      <c r="C31" s="234">
        <v>11000</v>
      </c>
      <c r="D31" s="234">
        <v>12000</v>
      </c>
      <c r="E31" s="212"/>
      <c r="F31" s="166"/>
      <c r="G31" s="166"/>
      <c r="H31" s="166"/>
      <c r="I31" s="166"/>
      <c r="J31" s="71"/>
    </row>
    <row r="32" spans="1:10" x14ac:dyDescent="0.3">
      <c r="A32" s="413"/>
      <c r="B32" s="234">
        <v>2022</v>
      </c>
      <c r="C32" s="234">
        <v>12000</v>
      </c>
      <c r="D32" s="234">
        <v>13000</v>
      </c>
      <c r="E32" s="212"/>
      <c r="F32" s="166"/>
      <c r="G32" s="166"/>
      <c r="H32" s="166"/>
      <c r="I32" s="166"/>
      <c r="J32" s="71"/>
    </row>
    <row r="33" spans="1:10" ht="27.6" x14ac:dyDescent="0.3">
      <c r="A33" s="413"/>
      <c r="B33" s="249" t="s">
        <v>648</v>
      </c>
      <c r="C33" s="234">
        <f>SUM(C30:C32)</f>
        <v>34000</v>
      </c>
      <c r="D33" s="234">
        <f>SUM(D30:D32)</f>
        <v>37000</v>
      </c>
      <c r="E33" s="213"/>
      <c r="F33" s="214"/>
      <c r="G33" s="214"/>
      <c r="H33" s="214"/>
      <c r="I33" s="214"/>
      <c r="J33" s="215"/>
    </row>
    <row r="34" spans="1:10" ht="63.75" customHeight="1" x14ac:dyDescent="0.3">
      <c r="A34" s="498" t="s">
        <v>600</v>
      </c>
      <c r="B34" s="498" t="s">
        <v>291</v>
      </c>
      <c r="C34" s="498" t="s">
        <v>754</v>
      </c>
      <c r="D34" s="498"/>
      <c r="E34" s="209"/>
      <c r="F34" s="210"/>
      <c r="G34" s="210"/>
      <c r="H34" s="210"/>
      <c r="I34" s="210"/>
      <c r="J34" s="211"/>
    </row>
    <row r="35" spans="1:10" x14ac:dyDescent="0.3">
      <c r="A35" s="498"/>
      <c r="B35" s="498"/>
      <c r="C35" s="54" t="s">
        <v>613</v>
      </c>
      <c r="D35" s="54" t="s">
        <v>614</v>
      </c>
      <c r="E35" s="212"/>
      <c r="F35" s="166"/>
      <c r="G35" s="166"/>
      <c r="H35" s="166"/>
      <c r="I35" s="166"/>
      <c r="J35" s="71"/>
    </row>
    <row r="36" spans="1:10" x14ac:dyDescent="0.3">
      <c r="A36" s="413" t="s">
        <v>755</v>
      </c>
      <c r="B36" s="234" t="s">
        <v>646</v>
      </c>
      <c r="C36" s="234">
        <v>9000</v>
      </c>
      <c r="D36" s="234">
        <v>11000</v>
      </c>
      <c r="E36" s="212"/>
      <c r="F36" s="166"/>
      <c r="G36" s="166"/>
      <c r="H36" s="166"/>
      <c r="I36" s="166"/>
      <c r="J36" s="71"/>
    </row>
    <row r="37" spans="1:10" x14ac:dyDescent="0.3">
      <c r="A37" s="413"/>
      <c r="B37" s="234" t="s">
        <v>647</v>
      </c>
      <c r="C37" s="518">
        <v>10400</v>
      </c>
      <c r="D37" s="518"/>
      <c r="E37" s="212"/>
      <c r="F37" s="166"/>
      <c r="G37" s="166"/>
      <c r="H37" s="166"/>
      <c r="I37" s="166"/>
      <c r="J37" s="71"/>
    </row>
    <row r="38" spans="1:10" x14ac:dyDescent="0.3">
      <c r="A38" s="413"/>
      <c r="B38" s="234">
        <v>2020</v>
      </c>
      <c r="C38" s="234">
        <v>28000</v>
      </c>
      <c r="D38" s="234">
        <v>38000</v>
      </c>
      <c r="E38" s="212"/>
      <c r="F38" s="166"/>
      <c r="G38" s="166"/>
      <c r="H38" s="166"/>
      <c r="I38" s="166"/>
      <c r="J38" s="71"/>
    </row>
    <row r="39" spans="1:10" x14ac:dyDescent="0.3">
      <c r="A39" s="413"/>
      <c r="B39" s="234">
        <v>2021</v>
      </c>
      <c r="C39" s="234">
        <v>18000</v>
      </c>
      <c r="D39" s="247">
        <v>21500</v>
      </c>
      <c r="E39" s="212"/>
      <c r="F39" s="166"/>
      <c r="G39" s="166"/>
      <c r="H39" s="166"/>
      <c r="I39" s="166"/>
      <c r="J39" s="71"/>
    </row>
    <row r="40" spans="1:10" x14ac:dyDescent="0.3">
      <c r="A40" s="413"/>
      <c r="B40" s="234">
        <v>2022</v>
      </c>
      <c r="C40" s="234">
        <v>15000</v>
      </c>
      <c r="D40" s="234">
        <v>18000</v>
      </c>
      <c r="E40" s="212"/>
      <c r="F40" s="166"/>
      <c r="G40" s="166"/>
      <c r="H40" s="166"/>
      <c r="I40" s="166"/>
      <c r="J40" s="71"/>
    </row>
    <row r="41" spans="1:10" ht="27.6" x14ac:dyDescent="0.3">
      <c r="A41" s="413"/>
      <c r="B41" s="249" t="s">
        <v>648</v>
      </c>
      <c r="C41" s="234">
        <f>SUM(C38:C40)</f>
        <v>61000</v>
      </c>
      <c r="D41" s="234">
        <f>SUM(D38:D40)</f>
        <v>77500</v>
      </c>
      <c r="E41" s="212"/>
      <c r="F41" s="166"/>
      <c r="G41" s="166"/>
      <c r="H41" s="166"/>
      <c r="I41" s="166"/>
      <c r="J41" s="71"/>
    </row>
    <row r="42" spans="1:10" ht="62.25" customHeight="1" x14ac:dyDescent="0.3">
      <c r="A42" s="498" t="s">
        <v>600</v>
      </c>
      <c r="B42" s="498" t="s">
        <v>291</v>
      </c>
      <c r="C42" s="498" t="s">
        <v>756</v>
      </c>
      <c r="D42" s="498"/>
      <c r="E42" s="212"/>
      <c r="F42" s="166"/>
      <c r="G42" s="166"/>
      <c r="H42" s="166"/>
      <c r="I42" s="166"/>
      <c r="J42" s="71"/>
    </row>
    <row r="43" spans="1:10" x14ac:dyDescent="0.3">
      <c r="A43" s="498"/>
      <c r="B43" s="498"/>
      <c r="C43" s="54" t="s">
        <v>613</v>
      </c>
      <c r="D43" s="54" t="s">
        <v>614</v>
      </c>
      <c r="E43" s="212"/>
      <c r="F43" s="166"/>
      <c r="G43" s="166"/>
      <c r="H43" s="166"/>
      <c r="I43" s="166"/>
      <c r="J43" s="71"/>
    </row>
    <row r="44" spans="1:10" x14ac:dyDescent="0.3">
      <c r="A44" s="413" t="s">
        <v>735</v>
      </c>
      <c r="B44" s="234" t="s">
        <v>646</v>
      </c>
      <c r="C44" s="234">
        <v>300</v>
      </c>
      <c r="D44" s="234">
        <v>360</v>
      </c>
      <c r="E44" s="212"/>
      <c r="F44" s="166"/>
      <c r="G44" s="166"/>
      <c r="H44" s="166"/>
      <c r="I44" s="166"/>
      <c r="J44" s="71"/>
    </row>
    <row r="45" spans="1:10" x14ac:dyDescent="0.3">
      <c r="A45" s="413"/>
      <c r="B45" s="234" t="s">
        <v>647</v>
      </c>
      <c r="C45" s="518">
        <v>301</v>
      </c>
      <c r="D45" s="518"/>
      <c r="E45" s="212"/>
      <c r="F45" s="166"/>
      <c r="G45" s="166"/>
      <c r="H45" s="166"/>
      <c r="I45" s="166"/>
      <c r="J45" s="71"/>
    </row>
    <row r="46" spans="1:10" x14ac:dyDescent="0.3">
      <c r="A46" s="413"/>
      <c r="B46" s="234">
        <v>2020</v>
      </c>
      <c r="C46" s="234">
        <v>300</v>
      </c>
      <c r="D46" s="234">
        <v>360</v>
      </c>
      <c r="E46" s="212"/>
      <c r="F46" s="166"/>
      <c r="G46" s="166"/>
      <c r="H46" s="166"/>
      <c r="I46" s="166"/>
      <c r="J46" s="71"/>
    </row>
    <row r="47" spans="1:10" x14ac:dyDescent="0.3">
      <c r="A47" s="413"/>
      <c r="B47" s="234">
        <v>2021</v>
      </c>
      <c r="C47" s="234">
        <v>300</v>
      </c>
      <c r="D47" s="234">
        <v>360</v>
      </c>
      <c r="E47" s="212"/>
      <c r="F47" s="166"/>
      <c r="G47" s="166"/>
      <c r="H47" s="166"/>
      <c r="I47" s="166"/>
      <c r="J47" s="71"/>
    </row>
    <row r="48" spans="1:10" x14ac:dyDescent="0.3">
      <c r="A48" s="413"/>
      <c r="B48" s="234">
        <v>2022</v>
      </c>
      <c r="C48" s="234">
        <v>300</v>
      </c>
      <c r="D48" s="234">
        <v>360</v>
      </c>
      <c r="E48" s="212"/>
      <c r="F48" s="166"/>
      <c r="G48" s="166"/>
      <c r="H48" s="166"/>
      <c r="I48" s="166"/>
      <c r="J48" s="71"/>
    </row>
    <row r="49" spans="1:10" ht="27.6" x14ac:dyDescent="0.3">
      <c r="A49" s="413"/>
      <c r="B49" s="249" t="s">
        <v>648</v>
      </c>
      <c r="C49" s="234">
        <f>SUM(C46:C48)</f>
        <v>900</v>
      </c>
      <c r="D49" s="234">
        <f>SUM(D46:D48)</f>
        <v>1080</v>
      </c>
      <c r="E49" s="213"/>
      <c r="F49" s="214"/>
      <c r="G49" s="214"/>
      <c r="H49" s="214"/>
      <c r="I49" s="214"/>
      <c r="J49" s="215"/>
    </row>
  </sheetData>
  <mergeCells count="42">
    <mergeCell ref="A42:A43"/>
    <mergeCell ref="B42:B43"/>
    <mergeCell ref="C42:D42"/>
    <mergeCell ref="A44:A49"/>
    <mergeCell ref="C45:D45"/>
    <mergeCell ref="A36:A41"/>
    <mergeCell ref="C37:D37"/>
    <mergeCell ref="A18:A19"/>
    <mergeCell ref="B18:B19"/>
    <mergeCell ref="C18:D18"/>
    <mergeCell ref="A20:A25"/>
    <mergeCell ref="C21:D21"/>
    <mergeCell ref="A26:A27"/>
    <mergeCell ref="B26:B27"/>
    <mergeCell ref="C26:D26"/>
    <mergeCell ref="A28:A33"/>
    <mergeCell ref="C29:D29"/>
    <mergeCell ref="A34:A35"/>
    <mergeCell ref="B34:B35"/>
    <mergeCell ref="C34:D34"/>
    <mergeCell ref="I10:J10"/>
    <mergeCell ref="A12:A17"/>
    <mergeCell ref="C13:D13"/>
    <mergeCell ref="E13:F13"/>
    <mergeCell ref="G13:H13"/>
    <mergeCell ref="I13:J13"/>
    <mergeCell ref="A10:A11"/>
    <mergeCell ref="B10:B11"/>
    <mergeCell ref="C10:D10"/>
    <mergeCell ref="E10:F10"/>
    <mergeCell ref="G10:H10"/>
    <mergeCell ref="A1:J1"/>
    <mergeCell ref="A2:A3"/>
    <mergeCell ref="B2:B3"/>
    <mergeCell ref="C2:D2"/>
    <mergeCell ref="E2:F2"/>
    <mergeCell ref="G2:H2"/>
    <mergeCell ref="I2:J9"/>
    <mergeCell ref="A4:A9"/>
    <mergeCell ref="C5:D5"/>
    <mergeCell ref="E5:F5"/>
    <mergeCell ref="G5:H5"/>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2" manualBreakCount="2">
    <brk id="17" max="16383" man="1"/>
    <brk id="3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4C93-188A-441B-BAB1-0ADC397B44BE}">
  <dimension ref="A1:X27"/>
  <sheetViews>
    <sheetView tabSelected="1" view="pageLayout" zoomScale="70" zoomScaleNormal="100" zoomScalePageLayoutView="70" workbookViewId="0">
      <selection activeCell="L21" sqref="L21"/>
    </sheetView>
  </sheetViews>
  <sheetFormatPr defaultRowHeight="14.4" x14ac:dyDescent="0.3"/>
  <cols>
    <col min="1" max="1" width="14.6640625" customWidth="1"/>
    <col min="2" max="2" width="10.44140625" bestFit="1" customWidth="1"/>
    <col min="3" max="3" width="8.33203125" customWidth="1"/>
    <col min="4" max="4" width="8.44140625" customWidth="1"/>
    <col min="5" max="5" width="7" customWidth="1"/>
    <col min="6" max="6" width="6.6640625" customWidth="1"/>
    <col min="7" max="7" width="7.109375" customWidth="1"/>
    <col min="8" max="8" width="10.44140625" customWidth="1"/>
    <col min="9" max="9" width="8.109375" customWidth="1"/>
    <col min="10" max="10" width="7.6640625" customWidth="1"/>
    <col min="11" max="12" width="8.88671875" bestFit="1" customWidth="1"/>
    <col min="13" max="13" width="11.6640625" customWidth="1"/>
    <col min="14" max="14" width="8.88671875" bestFit="1" customWidth="1"/>
    <col min="15" max="15" width="10" customWidth="1"/>
    <col min="16" max="16" width="14.88671875" bestFit="1" customWidth="1"/>
    <col min="17" max="17" width="14.6640625" customWidth="1"/>
    <col min="19" max="19" width="9.109375" bestFit="1" customWidth="1"/>
  </cols>
  <sheetData>
    <row r="1" spans="1:24" ht="18" x14ac:dyDescent="0.35">
      <c r="A1" s="206" t="s">
        <v>757</v>
      </c>
      <c r="B1" s="207"/>
      <c r="C1" s="207"/>
      <c r="D1" s="207"/>
      <c r="E1" s="207"/>
      <c r="F1" s="207"/>
      <c r="G1" s="207"/>
      <c r="H1" s="207"/>
      <c r="I1" s="207"/>
      <c r="J1" s="207"/>
      <c r="K1" s="207"/>
      <c r="L1" s="207"/>
      <c r="M1" s="207"/>
      <c r="N1" s="207"/>
      <c r="O1" s="207"/>
      <c r="P1" s="207"/>
      <c r="Q1" s="208"/>
    </row>
    <row r="2" spans="1:24" ht="72" customHeight="1" x14ac:dyDescent="0.3">
      <c r="A2" s="498" t="s">
        <v>600</v>
      </c>
      <c r="B2" s="498" t="s">
        <v>291</v>
      </c>
      <c r="C2" s="498" t="s">
        <v>601</v>
      </c>
      <c r="D2" s="498"/>
      <c r="E2" s="498" t="s">
        <v>602</v>
      </c>
      <c r="F2" s="498"/>
      <c r="G2" s="498" t="s">
        <v>603</v>
      </c>
      <c r="H2" s="498" t="s">
        <v>604</v>
      </c>
      <c r="I2" s="498" t="s">
        <v>605</v>
      </c>
      <c r="J2" s="498" t="s">
        <v>606</v>
      </c>
      <c r="K2" s="498" t="s">
        <v>607</v>
      </c>
      <c r="L2" s="498" t="s">
        <v>608</v>
      </c>
      <c r="M2" s="498" t="s">
        <v>609</v>
      </c>
      <c r="N2" s="498" t="s">
        <v>610</v>
      </c>
      <c r="O2" s="498" t="s">
        <v>611</v>
      </c>
      <c r="P2" s="498" t="s">
        <v>612</v>
      </c>
      <c r="Q2" s="498" t="s">
        <v>33</v>
      </c>
    </row>
    <row r="3" spans="1:24" x14ac:dyDescent="0.3">
      <c r="A3" s="498"/>
      <c r="B3" s="498"/>
      <c r="C3" s="244" t="s">
        <v>613</v>
      </c>
      <c r="D3" s="244" t="s">
        <v>614</v>
      </c>
      <c r="E3" s="244" t="s">
        <v>613</v>
      </c>
      <c r="F3" s="244" t="s">
        <v>614</v>
      </c>
      <c r="G3" s="498"/>
      <c r="H3" s="498"/>
      <c r="I3" s="498"/>
      <c r="J3" s="498"/>
      <c r="K3" s="498"/>
      <c r="L3" s="498"/>
      <c r="M3" s="498"/>
      <c r="N3" s="498"/>
      <c r="O3" s="498"/>
      <c r="P3" s="498"/>
      <c r="Q3" s="498"/>
    </row>
    <row r="4" spans="1:24" ht="27.6" x14ac:dyDescent="0.3">
      <c r="A4" s="413" t="s">
        <v>758</v>
      </c>
      <c r="B4" s="234" t="s">
        <v>616</v>
      </c>
      <c r="C4" s="234" t="s">
        <v>720</v>
      </c>
      <c r="D4" s="234" t="s">
        <v>641</v>
      </c>
      <c r="E4" s="234" t="s">
        <v>26</v>
      </c>
      <c r="F4" s="234" t="s">
        <v>26</v>
      </c>
      <c r="G4" s="234" t="s">
        <v>26</v>
      </c>
      <c r="H4" s="515" t="s">
        <v>759</v>
      </c>
      <c r="I4" s="234" t="s">
        <v>26</v>
      </c>
      <c r="J4" s="234" t="s">
        <v>26</v>
      </c>
      <c r="K4" s="234" t="s">
        <v>634</v>
      </c>
      <c r="L4" s="234" t="s">
        <v>618</v>
      </c>
      <c r="M4" s="234" t="s">
        <v>619</v>
      </c>
      <c r="N4" s="234" t="s">
        <v>26</v>
      </c>
      <c r="O4" s="249" t="s">
        <v>620</v>
      </c>
      <c r="P4" s="234" t="s">
        <v>621</v>
      </c>
      <c r="Q4" s="603" t="s">
        <v>760</v>
      </c>
    </row>
    <row r="5" spans="1:24" ht="27.6" x14ac:dyDescent="0.3">
      <c r="A5" s="413"/>
      <c r="B5" s="234" t="s">
        <v>622</v>
      </c>
      <c r="C5" s="520">
        <v>33957</v>
      </c>
      <c r="D5" s="521"/>
      <c r="E5" s="522" t="s">
        <v>26</v>
      </c>
      <c r="F5" s="523"/>
      <c r="G5" s="234" t="s">
        <v>26</v>
      </c>
      <c r="H5" s="516"/>
      <c r="I5" s="234" t="s">
        <v>26</v>
      </c>
      <c r="J5" s="234" t="s">
        <v>26</v>
      </c>
      <c r="K5" s="234" t="s">
        <v>634</v>
      </c>
      <c r="L5" s="234" t="s">
        <v>618</v>
      </c>
      <c r="M5" s="234" t="s">
        <v>619</v>
      </c>
      <c r="N5" s="234" t="s">
        <v>26</v>
      </c>
      <c r="O5" s="249" t="s">
        <v>620</v>
      </c>
      <c r="P5" s="234" t="s">
        <v>621</v>
      </c>
      <c r="Q5" s="604"/>
    </row>
    <row r="6" spans="1:24" ht="27.6" x14ac:dyDescent="0.3">
      <c r="A6" s="413"/>
      <c r="B6" s="234">
        <v>2020</v>
      </c>
      <c r="C6" s="105">
        <v>22220</v>
      </c>
      <c r="D6" s="105">
        <v>33330</v>
      </c>
      <c r="E6" s="234" t="s">
        <v>26</v>
      </c>
      <c r="F6" s="234" t="s">
        <v>26</v>
      </c>
      <c r="G6" s="49">
        <f t="shared" ref="G6:G21" si="0">((C6+D6)/2)/17277</f>
        <v>1.6076286392313481</v>
      </c>
      <c r="H6" s="516"/>
      <c r="I6" s="82">
        <v>0.5</v>
      </c>
      <c r="J6" s="359">
        <v>122.46</v>
      </c>
      <c r="K6" s="234" t="s">
        <v>634</v>
      </c>
      <c r="L6" s="234" t="s">
        <v>618</v>
      </c>
      <c r="M6" s="234" t="s">
        <v>619</v>
      </c>
      <c r="N6" s="234" t="s">
        <v>26</v>
      </c>
      <c r="O6" s="249" t="s">
        <v>620</v>
      </c>
      <c r="P6" s="234" t="s">
        <v>621</v>
      </c>
      <c r="Q6" s="604"/>
      <c r="R6" s="73"/>
      <c r="S6" s="85"/>
      <c r="U6" s="84"/>
      <c r="V6" s="84"/>
      <c r="W6" s="83"/>
      <c r="X6" s="83"/>
    </row>
    <row r="7" spans="1:24" ht="27.6" x14ac:dyDescent="0.3">
      <c r="A7" s="413"/>
      <c r="B7" s="234">
        <v>2021</v>
      </c>
      <c r="C7" s="105">
        <v>22220</v>
      </c>
      <c r="D7" s="105">
        <v>33330</v>
      </c>
      <c r="E7" s="234" t="s">
        <v>26</v>
      </c>
      <c r="F7" s="234" t="s">
        <v>26</v>
      </c>
      <c r="G7" s="49">
        <f t="shared" si="0"/>
        <v>1.6076286392313481</v>
      </c>
      <c r="H7" s="516"/>
      <c r="I7" s="82">
        <v>0.5</v>
      </c>
      <c r="J7" s="359">
        <v>122.46</v>
      </c>
      <c r="K7" s="234" t="s">
        <v>634</v>
      </c>
      <c r="L7" s="234" t="s">
        <v>618</v>
      </c>
      <c r="M7" s="234" t="s">
        <v>619</v>
      </c>
      <c r="N7" s="234" t="s">
        <v>26</v>
      </c>
      <c r="O7" s="249" t="s">
        <v>620</v>
      </c>
      <c r="P7" s="234" t="s">
        <v>621</v>
      </c>
      <c r="Q7" s="604"/>
      <c r="S7" s="85"/>
      <c r="U7" s="84"/>
      <c r="V7" s="84"/>
      <c r="W7" s="83"/>
      <c r="X7" s="83"/>
    </row>
    <row r="8" spans="1:24" ht="27.6" x14ac:dyDescent="0.3">
      <c r="A8" s="413"/>
      <c r="B8" s="234">
        <v>2022</v>
      </c>
      <c r="C8" s="105">
        <v>22220</v>
      </c>
      <c r="D8" s="105">
        <v>33330</v>
      </c>
      <c r="E8" s="234" t="s">
        <v>26</v>
      </c>
      <c r="F8" s="234" t="s">
        <v>26</v>
      </c>
      <c r="G8" s="49">
        <f t="shared" si="0"/>
        <v>1.6076286392313481</v>
      </c>
      <c r="H8" s="516"/>
      <c r="I8" s="82">
        <v>0.5</v>
      </c>
      <c r="J8" s="359">
        <v>122.46</v>
      </c>
      <c r="K8" s="234" t="s">
        <v>634</v>
      </c>
      <c r="L8" s="234" t="s">
        <v>618</v>
      </c>
      <c r="M8" s="234" t="s">
        <v>619</v>
      </c>
      <c r="N8" s="234" t="s">
        <v>26</v>
      </c>
      <c r="O8" s="249" t="s">
        <v>620</v>
      </c>
      <c r="P8" s="234" t="s">
        <v>621</v>
      </c>
      <c r="Q8" s="604"/>
      <c r="S8" s="85"/>
      <c r="U8" s="84"/>
      <c r="V8" s="84"/>
      <c r="W8" s="83"/>
      <c r="X8" s="83"/>
    </row>
    <row r="9" spans="1:24" ht="27.6" x14ac:dyDescent="0.3">
      <c r="A9" s="413"/>
      <c r="B9" s="249" t="s">
        <v>623</v>
      </c>
      <c r="C9" s="241">
        <f>SUM(C6:C8)</f>
        <v>66660</v>
      </c>
      <c r="D9" s="241">
        <f>SUM(D6:D8)</f>
        <v>99990</v>
      </c>
      <c r="E9" s="234" t="s">
        <v>26</v>
      </c>
      <c r="F9" s="234" t="s">
        <v>26</v>
      </c>
      <c r="G9" s="49">
        <f t="shared" si="0"/>
        <v>4.8228859176940437</v>
      </c>
      <c r="H9" s="517"/>
      <c r="I9" s="82">
        <v>0.5</v>
      </c>
      <c r="J9" s="359">
        <v>122.46</v>
      </c>
      <c r="K9" s="234" t="s">
        <v>634</v>
      </c>
      <c r="L9" s="234" t="s">
        <v>618</v>
      </c>
      <c r="M9" s="234" t="s">
        <v>619</v>
      </c>
      <c r="N9" s="234" t="s">
        <v>26</v>
      </c>
      <c r="O9" s="249" t="s">
        <v>620</v>
      </c>
      <c r="P9" s="234" t="s">
        <v>621</v>
      </c>
      <c r="Q9" s="605"/>
    </row>
    <row r="10" spans="1:24" ht="27.6" x14ac:dyDescent="0.3">
      <c r="A10" s="413" t="s">
        <v>761</v>
      </c>
      <c r="B10" s="235" t="s">
        <v>616</v>
      </c>
      <c r="C10" s="51">
        <v>400</v>
      </c>
      <c r="D10" s="51">
        <v>600</v>
      </c>
      <c r="E10" s="235" t="s">
        <v>26</v>
      </c>
      <c r="F10" s="235" t="s">
        <v>26</v>
      </c>
      <c r="G10" s="50">
        <f t="shared" si="0"/>
        <v>2.8940209527116977E-2</v>
      </c>
      <c r="H10" s="525" t="s">
        <v>762</v>
      </c>
      <c r="I10" s="235" t="s">
        <v>26</v>
      </c>
      <c r="J10" s="235" t="s">
        <v>26</v>
      </c>
      <c r="K10" s="235" t="s">
        <v>26</v>
      </c>
      <c r="L10" s="235" t="s">
        <v>618</v>
      </c>
      <c r="M10" s="235" t="s">
        <v>619</v>
      </c>
      <c r="N10" s="235" t="s">
        <v>26</v>
      </c>
      <c r="O10" s="250" t="s">
        <v>620</v>
      </c>
      <c r="P10" s="235" t="s">
        <v>621</v>
      </c>
      <c r="Q10" s="47"/>
    </row>
    <row r="11" spans="1:24" ht="27.6" x14ac:dyDescent="0.3">
      <c r="A11" s="413"/>
      <c r="B11" s="235" t="s">
        <v>622</v>
      </c>
      <c r="C11" s="505">
        <v>5093</v>
      </c>
      <c r="D11" s="506"/>
      <c r="E11" s="507" t="s">
        <v>26</v>
      </c>
      <c r="F11" s="508"/>
      <c r="G11" s="50">
        <f t="shared" si="0"/>
        <v>0.14739248712160677</v>
      </c>
      <c r="H11" s="526"/>
      <c r="I11" s="235" t="s">
        <v>26</v>
      </c>
      <c r="J11" s="235" t="s">
        <v>26</v>
      </c>
      <c r="K11" s="235" t="s">
        <v>26</v>
      </c>
      <c r="L11" s="235" t="s">
        <v>618</v>
      </c>
      <c r="M11" s="235" t="s">
        <v>619</v>
      </c>
      <c r="N11" s="235" t="s">
        <v>26</v>
      </c>
      <c r="O11" s="250" t="s">
        <v>620</v>
      </c>
      <c r="P11" s="235" t="s">
        <v>621</v>
      </c>
      <c r="Q11" s="47"/>
    </row>
    <row r="12" spans="1:24" ht="27.6" x14ac:dyDescent="0.3">
      <c r="A12" s="413"/>
      <c r="B12" s="235">
        <v>2020</v>
      </c>
      <c r="C12" s="51">
        <f>5000*0.8</f>
        <v>4000</v>
      </c>
      <c r="D12" s="51">
        <v>6000</v>
      </c>
      <c r="E12" s="235" t="s">
        <v>26</v>
      </c>
      <c r="F12" s="235" t="s">
        <v>26</v>
      </c>
      <c r="G12" s="50">
        <f t="shared" si="0"/>
        <v>0.28940209527116978</v>
      </c>
      <c r="H12" s="526"/>
      <c r="I12" s="81">
        <v>3.8000000000000009E-3</v>
      </c>
      <c r="J12" s="62">
        <v>5.1703149798623134</v>
      </c>
      <c r="K12" s="235" t="s">
        <v>26</v>
      </c>
      <c r="L12" s="235" t="s">
        <v>618</v>
      </c>
      <c r="M12" s="235" t="s">
        <v>619</v>
      </c>
      <c r="N12" s="235" t="s">
        <v>26</v>
      </c>
      <c r="O12" s="250" t="s">
        <v>620</v>
      </c>
      <c r="P12" s="235" t="s">
        <v>621</v>
      </c>
      <c r="Q12" s="47"/>
    </row>
    <row r="13" spans="1:24" ht="27.6" x14ac:dyDescent="0.3">
      <c r="A13" s="413"/>
      <c r="B13" s="235">
        <v>2021</v>
      </c>
      <c r="C13" s="51">
        <f t="shared" ref="C13:C14" si="1">5000*0.8</f>
        <v>4000</v>
      </c>
      <c r="D13" s="51">
        <v>6000</v>
      </c>
      <c r="E13" s="235" t="s">
        <v>26</v>
      </c>
      <c r="F13" s="235" t="s">
        <v>26</v>
      </c>
      <c r="G13" s="50">
        <f t="shared" si="0"/>
        <v>0.28940209527116978</v>
      </c>
      <c r="H13" s="526"/>
      <c r="I13" s="81">
        <v>3.8000000000000009E-3</v>
      </c>
      <c r="J13" s="62">
        <v>5.1703149798623134</v>
      </c>
      <c r="K13" s="235" t="s">
        <v>26</v>
      </c>
      <c r="L13" s="235" t="s">
        <v>618</v>
      </c>
      <c r="M13" s="235" t="s">
        <v>619</v>
      </c>
      <c r="N13" s="235" t="s">
        <v>26</v>
      </c>
      <c r="O13" s="250" t="s">
        <v>620</v>
      </c>
      <c r="P13" s="235" t="s">
        <v>621</v>
      </c>
      <c r="Q13" s="47"/>
    </row>
    <row r="14" spans="1:24" ht="27.6" x14ac:dyDescent="0.3">
      <c r="A14" s="413"/>
      <c r="B14" s="235">
        <v>2022</v>
      </c>
      <c r="C14" s="51">
        <f t="shared" si="1"/>
        <v>4000</v>
      </c>
      <c r="D14" s="51">
        <v>6000</v>
      </c>
      <c r="E14" s="235" t="s">
        <v>26</v>
      </c>
      <c r="F14" s="235" t="s">
        <v>26</v>
      </c>
      <c r="G14" s="50">
        <f t="shared" si="0"/>
        <v>0.28940209527116978</v>
      </c>
      <c r="H14" s="526"/>
      <c r="I14" s="81">
        <v>3.8000000000000009E-3</v>
      </c>
      <c r="J14" s="62">
        <v>5.1703149798623134</v>
      </c>
      <c r="K14" s="235" t="s">
        <v>26</v>
      </c>
      <c r="L14" s="235" t="s">
        <v>618</v>
      </c>
      <c r="M14" s="235" t="s">
        <v>619</v>
      </c>
      <c r="N14" s="235" t="s">
        <v>26</v>
      </c>
      <c r="O14" s="250" t="s">
        <v>620</v>
      </c>
      <c r="P14" s="235" t="s">
        <v>621</v>
      </c>
      <c r="Q14" s="47"/>
    </row>
    <row r="15" spans="1:24" ht="27.6" x14ac:dyDescent="0.3">
      <c r="A15" s="413"/>
      <c r="B15" s="250" t="s">
        <v>623</v>
      </c>
      <c r="C15" s="51">
        <f>SUM(C12:C14)</f>
        <v>12000</v>
      </c>
      <c r="D15" s="51">
        <f>SUM(D12:D14)</f>
        <v>18000</v>
      </c>
      <c r="E15" s="235" t="s">
        <v>26</v>
      </c>
      <c r="F15" s="235" t="s">
        <v>26</v>
      </c>
      <c r="G15" s="50">
        <f t="shared" si="0"/>
        <v>0.86820628581350934</v>
      </c>
      <c r="H15" s="527"/>
      <c r="I15" s="81">
        <v>3.8000000000000009E-3</v>
      </c>
      <c r="J15" s="62">
        <v>5.1703149798623134</v>
      </c>
      <c r="K15" s="235" t="s">
        <v>26</v>
      </c>
      <c r="L15" s="235" t="s">
        <v>618</v>
      </c>
      <c r="M15" s="235" t="s">
        <v>619</v>
      </c>
      <c r="N15" s="235" t="s">
        <v>26</v>
      </c>
      <c r="O15" s="250" t="s">
        <v>620</v>
      </c>
      <c r="P15" s="235" t="s">
        <v>621</v>
      </c>
      <c r="Q15" s="47"/>
    </row>
    <row r="16" spans="1:24" ht="27.6" x14ac:dyDescent="0.3">
      <c r="A16" s="413" t="s">
        <v>763</v>
      </c>
      <c r="B16" s="234" t="s">
        <v>616</v>
      </c>
      <c r="C16" s="241">
        <v>2400</v>
      </c>
      <c r="D16" s="241">
        <v>3600</v>
      </c>
      <c r="E16" s="234" t="s">
        <v>26</v>
      </c>
      <c r="F16" s="234" t="s">
        <v>26</v>
      </c>
      <c r="G16" s="49">
        <f t="shared" si="0"/>
        <v>0.17364125716270185</v>
      </c>
      <c r="H16" s="515" t="s">
        <v>759</v>
      </c>
      <c r="I16" s="234" t="s">
        <v>26</v>
      </c>
      <c r="J16" s="234" t="s">
        <v>26</v>
      </c>
      <c r="K16" s="234" t="s">
        <v>634</v>
      </c>
      <c r="L16" s="234" t="s">
        <v>618</v>
      </c>
      <c r="M16" s="234" t="s">
        <v>619</v>
      </c>
      <c r="N16" s="234" t="s">
        <v>26</v>
      </c>
      <c r="O16" s="249" t="s">
        <v>620</v>
      </c>
      <c r="P16" s="234" t="s">
        <v>621</v>
      </c>
      <c r="Q16" s="48"/>
    </row>
    <row r="17" spans="1:22" ht="27.6" x14ac:dyDescent="0.3">
      <c r="A17" s="413"/>
      <c r="B17" s="234" t="s">
        <v>622</v>
      </c>
      <c r="C17" s="520">
        <v>7396</v>
      </c>
      <c r="D17" s="521"/>
      <c r="E17" s="522" t="s">
        <v>26</v>
      </c>
      <c r="F17" s="523"/>
      <c r="G17" s="49">
        <f t="shared" si="0"/>
        <v>0.21404178966255716</v>
      </c>
      <c r="H17" s="516"/>
      <c r="I17" s="234" t="s">
        <v>26</v>
      </c>
      <c r="J17" s="234" t="s">
        <v>26</v>
      </c>
      <c r="K17" s="234" t="s">
        <v>634</v>
      </c>
      <c r="L17" s="234" t="s">
        <v>618</v>
      </c>
      <c r="M17" s="234" t="s">
        <v>619</v>
      </c>
      <c r="N17" s="234" t="s">
        <v>26</v>
      </c>
      <c r="O17" s="249" t="s">
        <v>620</v>
      </c>
      <c r="P17" s="234" t="s">
        <v>621</v>
      </c>
      <c r="Q17" s="48"/>
      <c r="U17" s="80"/>
      <c r="V17" s="80"/>
    </row>
    <row r="18" spans="1:22" ht="27.6" x14ac:dyDescent="0.3">
      <c r="A18" s="413"/>
      <c r="B18" s="234">
        <v>2020</v>
      </c>
      <c r="C18" s="241">
        <v>18882</v>
      </c>
      <c r="D18" s="241">
        <v>28324</v>
      </c>
      <c r="E18" s="234" t="s">
        <v>26</v>
      </c>
      <c r="F18" s="234" t="s">
        <v>26</v>
      </c>
      <c r="G18" s="49">
        <f t="shared" si="0"/>
        <v>1.366151530937084</v>
      </c>
      <c r="H18" s="516"/>
      <c r="I18" s="79">
        <v>0.05</v>
      </c>
      <c r="J18" s="626">
        <v>14.41</v>
      </c>
      <c r="K18" s="234" t="s">
        <v>634</v>
      </c>
      <c r="L18" s="234" t="s">
        <v>618</v>
      </c>
      <c r="M18" s="234" t="s">
        <v>619</v>
      </c>
      <c r="N18" s="234" t="s">
        <v>26</v>
      </c>
      <c r="O18" s="249" t="s">
        <v>620</v>
      </c>
      <c r="P18" s="234" t="s">
        <v>621</v>
      </c>
      <c r="Q18" s="48"/>
      <c r="U18" s="80"/>
      <c r="V18" s="80"/>
    </row>
    <row r="19" spans="1:22" ht="27.6" x14ac:dyDescent="0.3">
      <c r="A19" s="413"/>
      <c r="B19" s="234">
        <v>2021</v>
      </c>
      <c r="C19" s="241">
        <v>18882</v>
      </c>
      <c r="D19" s="241">
        <v>28324</v>
      </c>
      <c r="E19" s="234" t="s">
        <v>26</v>
      </c>
      <c r="F19" s="234" t="s">
        <v>26</v>
      </c>
      <c r="G19" s="49">
        <f t="shared" si="0"/>
        <v>1.366151530937084</v>
      </c>
      <c r="H19" s="516"/>
      <c r="I19" s="79">
        <v>0.05</v>
      </c>
      <c r="J19" s="626">
        <v>14.41</v>
      </c>
      <c r="K19" s="234" t="s">
        <v>634</v>
      </c>
      <c r="L19" s="234" t="s">
        <v>618</v>
      </c>
      <c r="M19" s="234" t="s">
        <v>619</v>
      </c>
      <c r="N19" s="234" t="s">
        <v>26</v>
      </c>
      <c r="O19" s="249" t="s">
        <v>620</v>
      </c>
      <c r="P19" s="234" t="s">
        <v>621</v>
      </c>
      <c r="Q19" s="48"/>
      <c r="U19" s="80"/>
      <c r="V19" s="80"/>
    </row>
    <row r="20" spans="1:22" ht="27.6" x14ac:dyDescent="0.3">
      <c r="A20" s="413"/>
      <c r="B20" s="234">
        <v>2022</v>
      </c>
      <c r="C20" s="241">
        <v>18882</v>
      </c>
      <c r="D20" s="241">
        <v>28324</v>
      </c>
      <c r="E20" s="234" t="s">
        <v>26</v>
      </c>
      <c r="F20" s="234" t="s">
        <v>26</v>
      </c>
      <c r="G20" s="49">
        <f t="shared" si="0"/>
        <v>1.366151530937084</v>
      </c>
      <c r="H20" s="516"/>
      <c r="I20" s="79">
        <v>0.05</v>
      </c>
      <c r="J20" s="626">
        <v>14.41</v>
      </c>
      <c r="K20" s="234" t="s">
        <v>634</v>
      </c>
      <c r="L20" s="234" t="s">
        <v>618</v>
      </c>
      <c r="M20" s="234" t="s">
        <v>619</v>
      </c>
      <c r="N20" s="234" t="s">
        <v>26</v>
      </c>
      <c r="O20" s="249" t="s">
        <v>620</v>
      </c>
      <c r="P20" s="234" t="s">
        <v>621</v>
      </c>
      <c r="Q20" s="48"/>
    </row>
    <row r="21" spans="1:22" ht="27.6" x14ac:dyDescent="0.3">
      <c r="A21" s="413"/>
      <c r="B21" s="249" t="s">
        <v>623</v>
      </c>
      <c r="C21" s="241">
        <f>SUM(C18:C20)</f>
        <v>56646</v>
      </c>
      <c r="D21" s="241">
        <f>SUM(D18:D20)</f>
        <v>84972</v>
      </c>
      <c r="E21" s="234" t="s">
        <v>26</v>
      </c>
      <c r="F21" s="234" t="s">
        <v>26</v>
      </c>
      <c r="G21" s="49">
        <f t="shared" si="0"/>
        <v>4.0984545928112519</v>
      </c>
      <c r="H21" s="517"/>
      <c r="I21" s="79">
        <v>0.05</v>
      </c>
      <c r="J21" s="626">
        <v>14.41</v>
      </c>
      <c r="K21" s="234" t="s">
        <v>634</v>
      </c>
      <c r="L21" s="234" t="s">
        <v>618</v>
      </c>
      <c r="M21" s="234" t="s">
        <v>619</v>
      </c>
      <c r="N21" s="234" t="s">
        <v>26</v>
      </c>
      <c r="O21" s="249" t="s">
        <v>620</v>
      </c>
      <c r="P21" s="234" t="s">
        <v>621</v>
      </c>
      <c r="Q21" s="48"/>
    </row>
    <row r="22" spans="1:22" ht="27.6" x14ac:dyDescent="0.3">
      <c r="A22" s="413" t="s">
        <v>764</v>
      </c>
      <c r="B22" s="235" t="s">
        <v>616</v>
      </c>
      <c r="C22" s="235" t="s">
        <v>720</v>
      </c>
      <c r="D22" s="235" t="s">
        <v>641</v>
      </c>
      <c r="E22" s="235" t="s">
        <v>26</v>
      </c>
      <c r="F22" s="235" t="s">
        <v>26</v>
      </c>
      <c r="G22" s="235" t="s">
        <v>26</v>
      </c>
      <c r="H22" s="525" t="s">
        <v>765</v>
      </c>
      <c r="I22" s="235" t="s">
        <v>26</v>
      </c>
      <c r="J22" s="235" t="s">
        <v>26</v>
      </c>
      <c r="K22" s="204" t="s">
        <v>26</v>
      </c>
      <c r="L22" s="204" t="s">
        <v>618</v>
      </c>
      <c r="M22" s="204" t="s">
        <v>619</v>
      </c>
      <c r="N22" s="204" t="s">
        <v>26</v>
      </c>
      <c r="O22" s="233" t="s">
        <v>620</v>
      </c>
      <c r="P22" s="204" t="s">
        <v>621</v>
      </c>
      <c r="Q22" s="556" t="s">
        <v>766</v>
      </c>
    </row>
    <row r="23" spans="1:22" ht="27.6" x14ac:dyDescent="0.3">
      <c r="A23" s="413"/>
      <c r="B23" s="235" t="s">
        <v>622</v>
      </c>
      <c r="C23" s="505">
        <v>3884</v>
      </c>
      <c r="D23" s="506"/>
      <c r="E23" s="507" t="s">
        <v>26</v>
      </c>
      <c r="F23" s="508"/>
      <c r="G23" s="235" t="s">
        <v>26</v>
      </c>
      <c r="H23" s="526"/>
      <c r="I23" s="235" t="s">
        <v>26</v>
      </c>
      <c r="J23" s="235" t="s">
        <v>26</v>
      </c>
      <c r="K23" s="235" t="s">
        <v>26</v>
      </c>
      <c r="L23" s="235" t="s">
        <v>618</v>
      </c>
      <c r="M23" s="235" t="s">
        <v>619</v>
      </c>
      <c r="N23" s="235" t="s">
        <v>26</v>
      </c>
      <c r="O23" s="250" t="s">
        <v>620</v>
      </c>
      <c r="P23" s="235" t="s">
        <v>621</v>
      </c>
      <c r="Q23" s="556"/>
    </row>
    <row r="24" spans="1:22" ht="27.6" x14ac:dyDescent="0.3">
      <c r="A24" s="413"/>
      <c r="B24" s="235">
        <v>2020</v>
      </c>
      <c r="C24" s="51">
        <v>4754</v>
      </c>
      <c r="D24" s="51">
        <v>7131</v>
      </c>
      <c r="E24" s="235" t="s">
        <v>26</v>
      </c>
      <c r="F24" s="235" t="s">
        <v>26</v>
      </c>
      <c r="G24" s="50">
        <f>((C24+D24)/2)/17277</f>
        <v>0.34395439022978525</v>
      </c>
      <c r="H24" s="526"/>
      <c r="I24" s="235" t="s">
        <v>26</v>
      </c>
      <c r="J24" s="235" t="s">
        <v>26</v>
      </c>
      <c r="K24" s="235" t="s">
        <v>26</v>
      </c>
      <c r="L24" s="235" t="s">
        <v>618</v>
      </c>
      <c r="M24" s="235" t="s">
        <v>619</v>
      </c>
      <c r="N24" s="235" t="s">
        <v>26</v>
      </c>
      <c r="O24" s="250" t="s">
        <v>620</v>
      </c>
      <c r="P24" s="235" t="s">
        <v>621</v>
      </c>
      <c r="Q24" s="556"/>
    </row>
    <row r="25" spans="1:22" ht="27.6" x14ac:dyDescent="0.3">
      <c r="A25" s="413"/>
      <c r="B25" s="235">
        <v>2021</v>
      </c>
      <c r="C25" s="51">
        <v>4754</v>
      </c>
      <c r="D25" s="51">
        <v>7131</v>
      </c>
      <c r="E25" s="235" t="s">
        <v>26</v>
      </c>
      <c r="F25" s="235" t="s">
        <v>26</v>
      </c>
      <c r="G25" s="50">
        <f>((C25+D25)/2)/17277</f>
        <v>0.34395439022978525</v>
      </c>
      <c r="H25" s="526"/>
      <c r="I25" s="235" t="s">
        <v>26</v>
      </c>
      <c r="J25" s="235" t="s">
        <v>26</v>
      </c>
      <c r="K25" s="235" t="s">
        <v>26</v>
      </c>
      <c r="L25" s="235" t="s">
        <v>618</v>
      </c>
      <c r="M25" s="235" t="s">
        <v>619</v>
      </c>
      <c r="N25" s="235" t="s">
        <v>26</v>
      </c>
      <c r="O25" s="250" t="s">
        <v>620</v>
      </c>
      <c r="P25" s="235" t="s">
        <v>621</v>
      </c>
      <c r="Q25" s="556"/>
    </row>
    <row r="26" spans="1:22" ht="27.6" x14ac:dyDescent="0.3">
      <c r="A26" s="413"/>
      <c r="B26" s="235">
        <v>2022</v>
      </c>
      <c r="C26" s="51">
        <v>4754</v>
      </c>
      <c r="D26" s="51">
        <v>7131</v>
      </c>
      <c r="E26" s="235" t="s">
        <v>26</v>
      </c>
      <c r="F26" s="235" t="s">
        <v>26</v>
      </c>
      <c r="G26" s="50">
        <f>((C26+D26)/2)/17277</f>
        <v>0.34395439022978525</v>
      </c>
      <c r="H26" s="526"/>
      <c r="I26" s="235" t="s">
        <v>26</v>
      </c>
      <c r="J26" s="235" t="s">
        <v>26</v>
      </c>
      <c r="K26" s="235" t="s">
        <v>26</v>
      </c>
      <c r="L26" s="235" t="s">
        <v>618</v>
      </c>
      <c r="M26" s="235" t="s">
        <v>619</v>
      </c>
      <c r="N26" s="235" t="s">
        <v>26</v>
      </c>
      <c r="O26" s="250" t="s">
        <v>620</v>
      </c>
      <c r="P26" s="235" t="s">
        <v>621</v>
      </c>
      <c r="Q26" s="556"/>
    </row>
    <row r="27" spans="1:22" ht="27.6" x14ac:dyDescent="0.3">
      <c r="A27" s="413"/>
      <c r="B27" s="250" t="s">
        <v>623</v>
      </c>
      <c r="C27" s="51">
        <f>SUM(C24:C26)</f>
        <v>14262</v>
      </c>
      <c r="D27" s="51">
        <f>SUM(D24:D26)</f>
        <v>21393</v>
      </c>
      <c r="E27" s="235" t="s">
        <v>26</v>
      </c>
      <c r="F27" s="235" t="s">
        <v>26</v>
      </c>
      <c r="G27" s="50">
        <f>((C27+D27)/2)/17277</f>
        <v>1.0318631706893557</v>
      </c>
      <c r="H27" s="527"/>
      <c r="I27" s="235" t="s">
        <v>26</v>
      </c>
      <c r="J27" s="235" t="s">
        <v>26</v>
      </c>
      <c r="K27" s="235" t="s">
        <v>26</v>
      </c>
      <c r="L27" s="235" t="s">
        <v>618</v>
      </c>
      <c r="M27" s="235" t="s">
        <v>619</v>
      </c>
      <c r="N27" s="235" t="s">
        <v>26</v>
      </c>
      <c r="O27" s="250" t="s">
        <v>620</v>
      </c>
      <c r="P27" s="235" t="s">
        <v>621</v>
      </c>
      <c r="Q27" s="557"/>
    </row>
  </sheetData>
  <mergeCells count="33">
    <mergeCell ref="A22:A27"/>
    <mergeCell ref="H22:H27"/>
    <mergeCell ref="C23:D23"/>
    <mergeCell ref="E23:F23"/>
    <mergeCell ref="H16:H21"/>
    <mergeCell ref="A4:A9"/>
    <mergeCell ref="Q4:Q9"/>
    <mergeCell ref="E2:F2"/>
    <mergeCell ref="Q22:Q27"/>
    <mergeCell ref="A10:A15"/>
    <mergeCell ref="C11:D11"/>
    <mergeCell ref="E11:F11"/>
    <mergeCell ref="H10:H15"/>
    <mergeCell ref="A16:A21"/>
    <mergeCell ref="C17:D17"/>
    <mergeCell ref="E17:F17"/>
    <mergeCell ref="H4:H9"/>
    <mergeCell ref="C5:D5"/>
    <mergeCell ref="E5:F5"/>
    <mergeCell ref="I2:I3"/>
    <mergeCell ref="A2:A3"/>
    <mergeCell ref="B2:B3"/>
    <mergeCell ref="C2:D2"/>
    <mergeCell ref="G2:G3"/>
    <mergeCell ref="H2:H3"/>
    <mergeCell ref="O2:O3"/>
    <mergeCell ref="P2:P3"/>
    <mergeCell ref="Q2:Q3"/>
    <mergeCell ref="J2:J3"/>
    <mergeCell ref="K2:K3"/>
    <mergeCell ref="L2:L3"/>
    <mergeCell ref="M2:M3"/>
    <mergeCell ref="N2:N3"/>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3" manualBreakCount="3">
    <brk id="9" max="16383" man="1"/>
    <brk id="15" max="16383" man="1"/>
    <brk id="2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C6B0-6F45-4B4E-A154-D263045A9AC5}">
  <dimension ref="A1:D33"/>
  <sheetViews>
    <sheetView view="pageLayout" zoomScaleNormal="100" zoomScaleSheetLayoutView="115" workbookViewId="0">
      <selection activeCell="F38" sqref="F38"/>
    </sheetView>
  </sheetViews>
  <sheetFormatPr defaultRowHeight="14.4" x14ac:dyDescent="0.3"/>
  <cols>
    <col min="1" max="1" width="14.109375" customWidth="1"/>
    <col min="2" max="2" width="11.88671875" customWidth="1"/>
    <col min="3" max="3" width="10" customWidth="1"/>
    <col min="4" max="4" width="9.6640625" customWidth="1"/>
  </cols>
  <sheetData>
    <row r="1" spans="1:4" ht="45.6" customHeight="1" x14ac:dyDescent="0.3">
      <c r="A1" s="592" t="s">
        <v>767</v>
      </c>
      <c r="B1" s="593"/>
      <c r="C1" s="593"/>
      <c r="D1" s="594"/>
    </row>
    <row r="2" spans="1:4" ht="55.5" customHeight="1" x14ac:dyDescent="0.3">
      <c r="A2" s="595" t="s">
        <v>600</v>
      </c>
      <c r="B2" s="498" t="s">
        <v>291</v>
      </c>
      <c r="C2" s="498" t="s">
        <v>768</v>
      </c>
      <c r="D2" s="498"/>
    </row>
    <row r="3" spans="1:4" x14ac:dyDescent="0.3">
      <c r="A3" s="595"/>
      <c r="B3" s="498"/>
      <c r="C3" s="54" t="s">
        <v>613</v>
      </c>
      <c r="D3" s="55" t="s">
        <v>614</v>
      </c>
    </row>
    <row r="4" spans="1:4" x14ac:dyDescent="0.3">
      <c r="A4" s="596" t="s">
        <v>758</v>
      </c>
      <c r="B4" s="196" t="s">
        <v>646</v>
      </c>
      <c r="C4" s="197">
        <v>450000</v>
      </c>
      <c r="D4" s="198">
        <v>460000</v>
      </c>
    </row>
    <row r="5" spans="1:4" x14ac:dyDescent="0.3">
      <c r="A5" s="596"/>
      <c r="B5" s="196" t="s">
        <v>647</v>
      </c>
      <c r="C5" s="597">
        <v>453330</v>
      </c>
      <c r="D5" s="598"/>
    </row>
    <row r="6" spans="1:4" x14ac:dyDescent="0.3">
      <c r="A6" s="596"/>
      <c r="B6" s="196">
        <v>2020</v>
      </c>
      <c r="C6" s="197">
        <v>450000</v>
      </c>
      <c r="D6" s="198">
        <v>460000</v>
      </c>
    </row>
    <row r="7" spans="1:4" x14ac:dyDescent="0.3">
      <c r="A7" s="596"/>
      <c r="B7" s="196">
        <v>2021</v>
      </c>
      <c r="C7" s="197">
        <v>450000</v>
      </c>
      <c r="D7" s="198">
        <v>460000</v>
      </c>
    </row>
    <row r="8" spans="1:4" x14ac:dyDescent="0.3">
      <c r="A8" s="596"/>
      <c r="B8" s="196">
        <v>2022</v>
      </c>
      <c r="C8" s="197">
        <v>450000</v>
      </c>
      <c r="D8" s="198">
        <v>460000</v>
      </c>
    </row>
    <row r="9" spans="1:4" ht="28.8" x14ac:dyDescent="0.3">
      <c r="A9" s="596"/>
      <c r="B9" s="199" t="s">
        <v>769</v>
      </c>
      <c r="C9" s="197">
        <f>SUM(C6:C8)</f>
        <v>1350000</v>
      </c>
      <c r="D9" s="198">
        <f>SUM(D6:D8)</f>
        <v>1380000</v>
      </c>
    </row>
    <row r="10" spans="1:4" ht="59.25" customHeight="1" x14ac:dyDescent="0.3">
      <c r="A10" s="595" t="s">
        <v>600</v>
      </c>
      <c r="B10" s="498" t="s">
        <v>291</v>
      </c>
      <c r="C10" s="498" t="s">
        <v>770</v>
      </c>
      <c r="D10" s="599"/>
    </row>
    <row r="11" spans="1:4" ht="59.25" customHeight="1" x14ac:dyDescent="0.3">
      <c r="A11" s="595"/>
      <c r="B11" s="498"/>
      <c r="C11" s="54" t="s">
        <v>613</v>
      </c>
      <c r="D11" s="55" t="s">
        <v>614</v>
      </c>
    </row>
    <row r="12" spans="1:4" x14ac:dyDescent="0.3">
      <c r="A12" s="596" t="s">
        <v>763</v>
      </c>
      <c r="B12" s="86" t="s">
        <v>646</v>
      </c>
      <c r="C12" s="221">
        <v>7000</v>
      </c>
      <c r="D12" s="222">
        <v>8000</v>
      </c>
    </row>
    <row r="13" spans="1:4" x14ac:dyDescent="0.3">
      <c r="A13" s="596"/>
      <c r="B13" s="86" t="s">
        <v>647</v>
      </c>
      <c r="C13" s="600">
        <v>8310</v>
      </c>
      <c r="D13" s="601"/>
    </row>
    <row r="14" spans="1:4" x14ac:dyDescent="0.3">
      <c r="A14" s="596"/>
      <c r="B14" s="86">
        <v>2020</v>
      </c>
      <c r="C14" s="221">
        <v>14000</v>
      </c>
      <c r="D14" s="222">
        <v>20000</v>
      </c>
    </row>
    <row r="15" spans="1:4" x14ac:dyDescent="0.3">
      <c r="A15" s="596"/>
      <c r="B15" s="86">
        <v>2021</v>
      </c>
      <c r="C15" s="221">
        <v>14000</v>
      </c>
      <c r="D15" s="222">
        <v>20000</v>
      </c>
    </row>
    <row r="16" spans="1:4" x14ac:dyDescent="0.3">
      <c r="A16" s="596"/>
      <c r="B16" s="86">
        <v>2022</v>
      </c>
      <c r="C16" s="221">
        <v>14000</v>
      </c>
      <c r="D16" s="222">
        <v>20000</v>
      </c>
    </row>
    <row r="17" spans="1:4" ht="28.8" x14ac:dyDescent="0.3">
      <c r="A17" s="596"/>
      <c r="B17" s="87" t="s">
        <v>769</v>
      </c>
      <c r="C17" s="221">
        <f>SUM(C14:C16)</f>
        <v>42000</v>
      </c>
      <c r="D17" s="222">
        <f>SUM(D14:D16)</f>
        <v>60000</v>
      </c>
    </row>
    <row r="18" spans="1:4" ht="47.25" customHeight="1" x14ac:dyDescent="0.3">
      <c r="A18" s="595" t="s">
        <v>600</v>
      </c>
      <c r="B18" s="498" t="s">
        <v>291</v>
      </c>
      <c r="C18" s="498" t="s">
        <v>771</v>
      </c>
      <c r="D18" s="599"/>
    </row>
    <row r="19" spans="1:4" x14ac:dyDescent="0.3">
      <c r="A19" s="595"/>
      <c r="B19" s="498"/>
      <c r="C19" s="54" t="s">
        <v>613</v>
      </c>
      <c r="D19" s="55" t="s">
        <v>614</v>
      </c>
    </row>
    <row r="20" spans="1:4" x14ac:dyDescent="0.3">
      <c r="A20" s="596" t="s">
        <v>764</v>
      </c>
      <c r="B20" s="86" t="s">
        <v>646</v>
      </c>
      <c r="C20" s="221">
        <v>32000</v>
      </c>
      <c r="D20" s="222">
        <v>39000</v>
      </c>
    </row>
    <row r="21" spans="1:4" x14ac:dyDescent="0.3">
      <c r="A21" s="596"/>
      <c r="B21" s="86" t="s">
        <v>647</v>
      </c>
      <c r="C21" s="600">
        <v>34000</v>
      </c>
      <c r="D21" s="601"/>
    </row>
    <row r="22" spans="1:4" x14ac:dyDescent="0.3">
      <c r="A22" s="596"/>
      <c r="B22" s="86">
        <v>2020</v>
      </c>
      <c r="C22" s="221">
        <v>32000</v>
      </c>
      <c r="D22" s="222">
        <v>39000</v>
      </c>
    </row>
    <row r="23" spans="1:4" x14ac:dyDescent="0.3">
      <c r="A23" s="596"/>
      <c r="B23" s="86">
        <v>2021</v>
      </c>
      <c r="C23" s="221">
        <v>32000</v>
      </c>
      <c r="D23" s="222">
        <v>39000</v>
      </c>
    </row>
    <row r="24" spans="1:4" x14ac:dyDescent="0.3">
      <c r="A24" s="596"/>
      <c r="B24" s="86">
        <v>2022</v>
      </c>
      <c r="C24" s="221">
        <v>32000</v>
      </c>
      <c r="D24" s="222">
        <v>39000</v>
      </c>
    </row>
    <row r="25" spans="1:4" ht="29.4" thickBot="1" x14ac:dyDescent="0.35">
      <c r="A25" s="602"/>
      <c r="B25" s="88" t="s">
        <v>769</v>
      </c>
      <c r="C25" s="200">
        <f>SUM(C22:C24)</f>
        <v>96000</v>
      </c>
      <c r="D25" s="201">
        <f>SUM(D22:D24)</f>
        <v>117000</v>
      </c>
    </row>
    <row r="26" spans="1:4" ht="45" customHeight="1" x14ac:dyDescent="0.3">
      <c r="A26" s="595" t="s">
        <v>600</v>
      </c>
      <c r="B26" s="498" t="s">
        <v>291</v>
      </c>
      <c r="C26" s="498" t="s">
        <v>772</v>
      </c>
      <c r="D26" s="599"/>
    </row>
    <row r="27" spans="1:4" x14ac:dyDescent="0.3">
      <c r="A27" s="595"/>
      <c r="B27" s="498"/>
      <c r="C27" s="54" t="s">
        <v>613</v>
      </c>
      <c r="D27" s="55" t="s">
        <v>614</v>
      </c>
    </row>
    <row r="28" spans="1:4" x14ac:dyDescent="0.3">
      <c r="A28" s="596" t="s">
        <v>773</v>
      </c>
      <c r="B28" s="86" t="s">
        <v>646</v>
      </c>
      <c r="C28" s="221">
        <v>400</v>
      </c>
      <c r="D28" s="222">
        <v>600</v>
      </c>
    </row>
    <row r="29" spans="1:4" x14ac:dyDescent="0.3">
      <c r="A29" s="596"/>
      <c r="B29" s="86" t="s">
        <v>647</v>
      </c>
      <c r="C29" s="600">
        <v>511</v>
      </c>
      <c r="D29" s="601"/>
    </row>
    <row r="30" spans="1:4" x14ac:dyDescent="0.3">
      <c r="A30" s="596"/>
      <c r="B30" s="86">
        <v>2020</v>
      </c>
      <c r="C30" s="221">
        <v>400</v>
      </c>
      <c r="D30" s="222">
        <v>600</v>
      </c>
    </row>
    <row r="31" spans="1:4" x14ac:dyDescent="0.3">
      <c r="A31" s="596"/>
      <c r="B31" s="86">
        <v>2021</v>
      </c>
      <c r="C31" s="221">
        <v>400</v>
      </c>
      <c r="D31" s="222">
        <v>600</v>
      </c>
    </row>
    <row r="32" spans="1:4" x14ac:dyDescent="0.3">
      <c r="A32" s="596"/>
      <c r="B32" s="86">
        <v>2022</v>
      </c>
      <c r="C32" s="221">
        <v>400</v>
      </c>
      <c r="D32" s="222">
        <v>600</v>
      </c>
    </row>
    <row r="33" spans="1:4" ht="29.4" thickBot="1" x14ac:dyDescent="0.35">
      <c r="A33" s="602"/>
      <c r="B33" s="88" t="s">
        <v>769</v>
      </c>
      <c r="C33" s="200">
        <f>SUM(C30:C32)</f>
        <v>1200</v>
      </c>
      <c r="D33" s="201">
        <f>SUM(D30:D32)</f>
        <v>1800</v>
      </c>
    </row>
  </sheetData>
  <mergeCells count="21">
    <mergeCell ref="A28:A33"/>
    <mergeCell ref="C29:D29"/>
    <mergeCell ref="A18:A19"/>
    <mergeCell ref="B18:B19"/>
    <mergeCell ref="C18:D18"/>
    <mergeCell ref="A20:A25"/>
    <mergeCell ref="C21:D21"/>
    <mergeCell ref="A26:A27"/>
    <mergeCell ref="B26:B27"/>
    <mergeCell ref="C26:D26"/>
    <mergeCell ref="A10:A11"/>
    <mergeCell ref="B10:B11"/>
    <mergeCell ref="C10:D10"/>
    <mergeCell ref="A12:A17"/>
    <mergeCell ref="C13:D13"/>
    <mergeCell ref="A1:D1"/>
    <mergeCell ref="A2:A3"/>
    <mergeCell ref="B2:B3"/>
    <mergeCell ref="C2:D2"/>
    <mergeCell ref="A4:A9"/>
    <mergeCell ref="C5:D5"/>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8DF4-3F7A-4150-A701-B900621DCFB8}">
  <dimension ref="A1:I11"/>
  <sheetViews>
    <sheetView view="pageLayout" topLeftCell="B16" zoomScaleNormal="70" zoomScaleSheetLayoutView="70" workbookViewId="0">
      <selection activeCell="F28" sqref="F28"/>
    </sheetView>
  </sheetViews>
  <sheetFormatPr defaultRowHeight="14.4" x14ac:dyDescent="0.3"/>
  <cols>
    <col min="1" max="1" width="48.88671875" customWidth="1"/>
    <col min="8" max="8" width="26.6640625" customWidth="1"/>
    <col min="9" max="9" width="29.44140625" customWidth="1"/>
  </cols>
  <sheetData>
    <row r="1" spans="1:9" ht="18" x14ac:dyDescent="0.35">
      <c r="A1" s="402" t="s">
        <v>163</v>
      </c>
      <c r="B1" s="403"/>
      <c r="C1" s="403"/>
      <c r="D1" s="403"/>
      <c r="E1" s="403"/>
      <c r="F1" s="403"/>
      <c r="G1" s="403"/>
      <c r="H1" s="403"/>
      <c r="I1" s="403"/>
    </row>
    <row r="2" spans="1:9" x14ac:dyDescent="0.3">
      <c r="A2" s="405" t="s">
        <v>164</v>
      </c>
      <c r="B2" s="405" t="s">
        <v>165</v>
      </c>
      <c r="C2" s="405"/>
      <c r="D2" s="405"/>
      <c r="E2" s="405"/>
      <c r="F2" s="405"/>
      <c r="G2" s="405" t="s">
        <v>166</v>
      </c>
      <c r="H2" s="405" t="s">
        <v>167</v>
      </c>
      <c r="I2" s="405" t="s">
        <v>168</v>
      </c>
    </row>
    <row r="3" spans="1:9" x14ac:dyDescent="0.3">
      <c r="A3" s="405"/>
      <c r="B3" s="11">
        <v>2015</v>
      </c>
      <c r="C3" s="11">
        <v>2016</v>
      </c>
      <c r="D3" s="11">
        <v>2017</v>
      </c>
      <c r="E3" s="11">
        <v>2018</v>
      </c>
      <c r="F3" s="11">
        <v>2019</v>
      </c>
      <c r="G3" s="405"/>
      <c r="H3" s="405"/>
      <c r="I3" s="405"/>
    </row>
    <row r="4" spans="1:9" ht="46.2" customHeight="1" x14ac:dyDescent="0.3">
      <c r="A4" s="260" t="s">
        <v>169</v>
      </c>
      <c r="B4" s="249" t="s">
        <v>170</v>
      </c>
      <c r="C4" s="249" t="s">
        <v>171</v>
      </c>
      <c r="D4" s="249" t="s">
        <v>172</v>
      </c>
      <c r="E4" s="249" t="s">
        <v>173</v>
      </c>
      <c r="F4" s="249" t="s">
        <v>174</v>
      </c>
      <c r="G4" s="249" t="s">
        <v>175</v>
      </c>
      <c r="H4" s="249" t="s">
        <v>26</v>
      </c>
      <c r="I4" s="404" t="s">
        <v>177</v>
      </c>
    </row>
    <row r="5" spans="1:9" ht="46.2" customHeight="1" x14ac:dyDescent="0.3">
      <c r="A5" s="260" t="s">
        <v>178</v>
      </c>
      <c r="B5" s="250" t="s">
        <v>179</v>
      </c>
      <c r="C5" s="250" t="s">
        <v>180</v>
      </c>
      <c r="D5" s="250" t="s">
        <v>181</v>
      </c>
      <c r="E5" s="250" t="s">
        <v>182</v>
      </c>
      <c r="F5" s="250" t="s">
        <v>180</v>
      </c>
      <c r="G5" s="250" t="s">
        <v>175</v>
      </c>
      <c r="H5" s="250" t="s">
        <v>26</v>
      </c>
      <c r="I5" s="404"/>
    </row>
    <row r="6" spans="1:9" ht="46.2" customHeight="1" x14ac:dyDescent="0.3">
      <c r="A6" s="260" t="s">
        <v>183</v>
      </c>
      <c r="B6" s="249" t="s">
        <v>184</v>
      </c>
      <c r="C6" s="249" t="s">
        <v>185</v>
      </c>
      <c r="D6" s="249" t="s">
        <v>186</v>
      </c>
      <c r="E6" s="249" t="s">
        <v>187</v>
      </c>
      <c r="F6" s="249" t="s">
        <v>188</v>
      </c>
      <c r="G6" s="249" t="s">
        <v>175</v>
      </c>
      <c r="H6" s="259" t="s">
        <v>26</v>
      </c>
      <c r="I6" s="404"/>
    </row>
    <row r="7" spans="1:9" ht="46.2" customHeight="1" x14ac:dyDescent="0.3">
      <c r="A7" s="260" t="s">
        <v>189</v>
      </c>
      <c r="B7" s="250" t="s">
        <v>190</v>
      </c>
      <c r="C7" s="250" t="s">
        <v>191</v>
      </c>
      <c r="D7" s="250" t="s">
        <v>192</v>
      </c>
      <c r="E7" s="250" t="s">
        <v>181</v>
      </c>
      <c r="F7" s="250" t="s">
        <v>190</v>
      </c>
      <c r="G7" s="250" t="s">
        <v>175</v>
      </c>
      <c r="H7" s="258" t="s">
        <v>26</v>
      </c>
      <c r="I7" s="404"/>
    </row>
    <row r="8" spans="1:9" ht="46.2" customHeight="1" x14ac:dyDescent="0.3">
      <c r="A8" s="260" t="s">
        <v>193</v>
      </c>
      <c r="B8" s="249" t="s">
        <v>194</v>
      </c>
      <c r="C8" s="249" t="s">
        <v>195</v>
      </c>
      <c r="D8" s="249" t="s">
        <v>196</v>
      </c>
      <c r="E8" s="249" t="s">
        <v>197</v>
      </c>
      <c r="F8" s="249" t="s">
        <v>198</v>
      </c>
      <c r="G8" s="249" t="s">
        <v>175</v>
      </c>
      <c r="H8" s="259" t="s">
        <v>26</v>
      </c>
      <c r="I8" s="404"/>
    </row>
    <row r="9" spans="1:9" ht="46.2" customHeight="1" x14ac:dyDescent="0.3">
      <c r="A9" s="260" t="s">
        <v>199</v>
      </c>
      <c r="B9" s="250" t="s">
        <v>184</v>
      </c>
      <c r="C9" s="250" t="s">
        <v>185</v>
      </c>
      <c r="D9" s="250" t="s">
        <v>188</v>
      </c>
      <c r="E9" s="250" t="s">
        <v>200</v>
      </c>
      <c r="F9" s="250" t="s">
        <v>201</v>
      </c>
      <c r="G9" s="250" t="s">
        <v>175</v>
      </c>
      <c r="H9" s="258" t="s">
        <v>26</v>
      </c>
      <c r="I9" s="404"/>
    </row>
    <row r="10" spans="1:9" ht="46.2" customHeight="1" x14ac:dyDescent="0.3">
      <c r="A10" s="260" t="s">
        <v>202</v>
      </c>
      <c r="B10" s="249" t="s">
        <v>203</v>
      </c>
      <c r="C10" s="249" t="s">
        <v>204</v>
      </c>
      <c r="D10" s="249" t="s">
        <v>205</v>
      </c>
      <c r="E10" s="249" t="s">
        <v>206</v>
      </c>
      <c r="F10" s="249" t="s">
        <v>207</v>
      </c>
      <c r="G10" s="249" t="s">
        <v>175</v>
      </c>
      <c r="H10" s="259" t="s">
        <v>26</v>
      </c>
      <c r="I10" s="404"/>
    </row>
    <row r="11" spans="1:9" x14ac:dyDescent="0.3">
      <c r="A11" s="1"/>
    </row>
  </sheetData>
  <mergeCells count="7">
    <mergeCell ref="A1:I1"/>
    <mergeCell ref="I4:I10"/>
    <mergeCell ref="B2:F2"/>
    <mergeCell ref="A2:A3"/>
    <mergeCell ref="G2:G3"/>
    <mergeCell ref="I2:I3"/>
    <mergeCell ref="H2:H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837A-5B16-4819-9CDF-A7E9D3C83C3D}">
  <dimension ref="A1:Q64"/>
  <sheetViews>
    <sheetView view="pageLayout" zoomScale="70" zoomScaleNormal="100" zoomScaleSheetLayoutView="85" zoomScalePageLayoutView="70" workbookViewId="0">
      <selection activeCell="G30" sqref="G30"/>
    </sheetView>
  </sheetViews>
  <sheetFormatPr defaultRowHeight="14.4" x14ac:dyDescent="0.3"/>
  <cols>
    <col min="1" max="1" width="13.5546875" customWidth="1"/>
    <col min="2" max="2" width="10.44140625" bestFit="1" customWidth="1"/>
    <col min="3" max="3" width="7.88671875" customWidth="1"/>
    <col min="4" max="4" width="8.33203125" customWidth="1"/>
    <col min="5" max="5" width="6" customWidth="1"/>
    <col min="6" max="6" width="5.33203125" customWidth="1"/>
    <col min="7" max="7" width="7.88671875" customWidth="1"/>
    <col min="8" max="8" width="12.33203125" customWidth="1"/>
    <col min="9" max="11" width="7.33203125" customWidth="1"/>
    <col min="12" max="12" width="7.5546875" customWidth="1"/>
    <col min="13" max="13" width="10.88671875" style="115" customWidth="1"/>
    <col min="14" max="14" width="8" customWidth="1"/>
    <col min="15" max="15" width="13.33203125" style="28" customWidth="1"/>
    <col min="16" max="16" width="31" customWidth="1"/>
    <col min="17" max="17" width="24.5546875" customWidth="1"/>
  </cols>
  <sheetData>
    <row r="1" spans="1:17" ht="18" x14ac:dyDescent="0.35">
      <c r="A1" s="322" t="s">
        <v>774</v>
      </c>
      <c r="B1" s="323"/>
      <c r="C1" s="323"/>
      <c r="D1" s="323"/>
      <c r="E1" s="323"/>
      <c r="F1" s="323"/>
      <c r="G1" s="323"/>
      <c r="H1" s="323"/>
      <c r="I1" s="323"/>
      <c r="J1" s="323"/>
      <c r="K1" s="323"/>
      <c r="L1" s="323"/>
      <c r="M1" s="324"/>
      <c r="N1" s="323"/>
      <c r="O1" s="325"/>
      <c r="P1" s="323"/>
      <c r="Q1" s="326"/>
    </row>
    <row r="2" spans="1:17" ht="79.2" customHeight="1" x14ac:dyDescent="0.3">
      <c r="A2" s="498" t="s">
        <v>600</v>
      </c>
      <c r="B2" s="498" t="s">
        <v>291</v>
      </c>
      <c r="C2" s="498" t="s">
        <v>601</v>
      </c>
      <c r="D2" s="498"/>
      <c r="E2" s="498" t="s">
        <v>602</v>
      </c>
      <c r="F2" s="498"/>
      <c r="G2" s="498" t="s">
        <v>603</v>
      </c>
      <c r="H2" s="498" t="s">
        <v>604</v>
      </c>
      <c r="I2" s="498" t="s">
        <v>605</v>
      </c>
      <c r="J2" s="498" t="s">
        <v>606</v>
      </c>
      <c r="K2" s="498" t="s">
        <v>607</v>
      </c>
      <c r="L2" s="498" t="s">
        <v>608</v>
      </c>
      <c r="M2" s="498" t="s">
        <v>609</v>
      </c>
      <c r="N2" s="498" t="s">
        <v>610</v>
      </c>
      <c r="O2" s="498" t="s">
        <v>611</v>
      </c>
      <c r="P2" s="498" t="s">
        <v>612</v>
      </c>
      <c r="Q2" s="498" t="s">
        <v>33</v>
      </c>
    </row>
    <row r="3" spans="1:17" x14ac:dyDescent="0.3">
      <c r="A3" s="498"/>
      <c r="B3" s="498"/>
      <c r="C3" s="244" t="s">
        <v>613</v>
      </c>
      <c r="D3" s="244" t="s">
        <v>614</v>
      </c>
      <c r="E3" s="244" t="s">
        <v>613</v>
      </c>
      <c r="F3" s="244" t="s">
        <v>614</v>
      </c>
      <c r="G3" s="498"/>
      <c r="H3" s="498"/>
      <c r="I3" s="498"/>
      <c r="J3" s="498"/>
      <c r="K3" s="498"/>
      <c r="L3" s="498"/>
      <c r="M3" s="498"/>
      <c r="N3" s="498"/>
      <c r="O3" s="498"/>
      <c r="P3" s="498"/>
      <c r="Q3" s="498"/>
    </row>
    <row r="4" spans="1:17" ht="27.6" x14ac:dyDescent="0.3">
      <c r="A4" s="561" t="s">
        <v>775</v>
      </c>
      <c r="B4" s="89" t="s">
        <v>616</v>
      </c>
      <c r="C4" s="234" t="s">
        <v>720</v>
      </c>
      <c r="D4" s="234" t="s">
        <v>641</v>
      </c>
      <c r="E4" s="234" t="s">
        <v>26</v>
      </c>
      <c r="F4" s="234" t="s">
        <v>26</v>
      </c>
      <c r="G4" s="234" t="s">
        <v>26</v>
      </c>
      <c r="H4" s="515" t="s">
        <v>776</v>
      </c>
      <c r="I4" s="234" t="s">
        <v>26</v>
      </c>
      <c r="J4" s="234" t="s">
        <v>26</v>
      </c>
      <c r="K4" s="234" t="s">
        <v>26</v>
      </c>
      <c r="L4" s="234" t="s">
        <v>618</v>
      </c>
      <c r="M4" s="234" t="s">
        <v>619</v>
      </c>
      <c r="N4" s="234" t="s">
        <v>26</v>
      </c>
      <c r="O4" s="249" t="s">
        <v>620</v>
      </c>
      <c r="P4" s="107" t="s">
        <v>621</v>
      </c>
      <c r="Q4" s="109"/>
    </row>
    <row r="5" spans="1:17" ht="27.6" x14ac:dyDescent="0.3">
      <c r="A5" s="561"/>
      <c r="B5" s="89" t="s">
        <v>622</v>
      </c>
      <c r="C5" s="522" t="s">
        <v>641</v>
      </c>
      <c r="D5" s="523"/>
      <c r="E5" s="522" t="s">
        <v>26</v>
      </c>
      <c r="F5" s="523"/>
      <c r="G5" s="234" t="s">
        <v>26</v>
      </c>
      <c r="H5" s="516"/>
      <c r="I5" s="234" t="s">
        <v>26</v>
      </c>
      <c r="J5" s="234" t="s">
        <v>26</v>
      </c>
      <c r="K5" s="234" t="s">
        <v>26</v>
      </c>
      <c r="L5" s="234" t="s">
        <v>618</v>
      </c>
      <c r="M5" s="234" t="s">
        <v>619</v>
      </c>
      <c r="N5" s="234" t="s">
        <v>26</v>
      </c>
      <c r="O5" s="249" t="s">
        <v>620</v>
      </c>
      <c r="P5" s="107" t="s">
        <v>621</v>
      </c>
      <c r="Q5" s="109"/>
    </row>
    <row r="6" spans="1:17" ht="27.6" x14ac:dyDescent="0.3">
      <c r="A6" s="561"/>
      <c r="B6" s="89">
        <v>2020</v>
      </c>
      <c r="C6" s="234" t="s">
        <v>641</v>
      </c>
      <c r="D6" s="234" t="s">
        <v>641</v>
      </c>
      <c r="E6" s="234" t="s">
        <v>26</v>
      </c>
      <c r="F6" s="234" t="s">
        <v>26</v>
      </c>
      <c r="G6" s="234" t="s">
        <v>26</v>
      </c>
      <c r="H6" s="516"/>
      <c r="I6" s="234" t="s">
        <v>26</v>
      </c>
      <c r="J6" s="234" t="s">
        <v>26</v>
      </c>
      <c r="K6" s="234" t="s">
        <v>26</v>
      </c>
      <c r="L6" s="234" t="s">
        <v>618</v>
      </c>
      <c r="M6" s="234" t="s">
        <v>619</v>
      </c>
      <c r="N6" s="234" t="s">
        <v>26</v>
      </c>
      <c r="O6" s="249" t="s">
        <v>620</v>
      </c>
      <c r="P6" s="107" t="s">
        <v>621</v>
      </c>
      <c r="Q6" s="109"/>
    </row>
    <row r="7" spans="1:17" ht="27.6" x14ac:dyDescent="0.3">
      <c r="A7" s="561"/>
      <c r="B7" s="89">
        <v>2021</v>
      </c>
      <c r="C7" s="234" t="s">
        <v>641</v>
      </c>
      <c r="D7" s="234" t="s">
        <v>641</v>
      </c>
      <c r="E7" s="234" t="s">
        <v>26</v>
      </c>
      <c r="F7" s="234" t="s">
        <v>26</v>
      </c>
      <c r="G7" s="234" t="s">
        <v>26</v>
      </c>
      <c r="H7" s="516"/>
      <c r="I7" s="234" t="s">
        <v>26</v>
      </c>
      <c r="J7" s="234" t="s">
        <v>26</v>
      </c>
      <c r="K7" s="234" t="s">
        <v>26</v>
      </c>
      <c r="L7" s="234" t="s">
        <v>618</v>
      </c>
      <c r="M7" s="234" t="s">
        <v>619</v>
      </c>
      <c r="N7" s="234" t="s">
        <v>26</v>
      </c>
      <c r="O7" s="249" t="s">
        <v>620</v>
      </c>
      <c r="P7" s="107" t="s">
        <v>621</v>
      </c>
      <c r="Q7" s="109"/>
    </row>
    <row r="8" spans="1:17" ht="27.6" x14ac:dyDescent="0.3">
      <c r="A8" s="561"/>
      <c r="B8" s="89">
        <v>2022</v>
      </c>
      <c r="C8" s="234" t="s">
        <v>641</v>
      </c>
      <c r="D8" s="234" t="s">
        <v>641</v>
      </c>
      <c r="E8" s="234" t="s">
        <v>26</v>
      </c>
      <c r="F8" s="234" t="s">
        <v>26</v>
      </c>
      <c r="G8" s="234" t="s">
        <v>26</v>
      </c>
      <c r="H8" s="516"/>
      <c r="I8" s="234" t="s">
        <v>26</v>
      </c>
      <c r="J8" s="234" t="s">
        <v>26</v>
      </c>
      <c r="K8" s="234" t="s">
        <v>26</v>
      </c>
      <c r="L8" s="234" t="s">
        <v>618</v>
      </c>
      <c r="M8" s="234" t="s">
        <v>619</v>
      </c>
      <c r="N8" s="234" t="s">
        <v>26</v>
      </c>
      <c r="O8" s="249" t="s">
        <v>620</v>
      </c>
      <c r="P8" s="107" t="s">
        <v>621</v>
      </c>
      <c r="Q8" s="109"/>
    </row>
    <row r="9" spans="1:17" ht="27.6" x14ac:dyDescent="0.3">
      <c r="A9" s="561"/>
      <c r="B9" s="104" t="s">
        <v>623</v>
      </c>
      <c r="C9" s="234" t="s">
        <v>641</v>
      </c>
      <c r="D9" s="234" t="s">
        <v>641</v>
      </c>
      <c r="E9" s="234" t="s">
        <v>26</v>
      </c>
      <c r="F9" s="234" t="s">
        <v>26</v>
      </c>
      <c r="G9" s="234" t="s">
        <v>26</v>
      </c>
      <c r="H9" s="517"/>
      <c r="I9" s="234" t="s">
        <v>26</v>
      </c>
      <c r="J9" s="234" t="s">
        <v>26</v>
      </c>
      <c r="K9" s="234" t="s">
        <v>26</v>
      </c>
      <c r="L9" s="234" t="s">
        <v>618</v>
      </c>
      <c r="M9" s="234" t="s">
        <v>619</v>
      </c>
      <c r="N9" s="234" t="s">
        <v>26</v>
      </c>
      <c r="O9" s="249" t="s">
        <v>620</v>
      </c>
      <c r="P9" s="107" t="s">
        <v>621</v>
      </c>
      <c r="Q9" s="109"/>
    </row>
    <row r="10" spans="1:17" ht="51" customHeight="1" x14ac:dyDescent="0.3">
      <c r="A10" s="607" t="s">
        <v>777</v>
      </c>
      <c r="B10" s="89" t="s">
        <v>616</v>
      </c>
      <c r="C10" s="51">
        <v>700</v>
      </c>
      <c r="D10" s="51">
        <v>1100</v>
      </c>
      <c r="E10" s="235" t="s">
        <v>26</v>
      </c>
      <c r="F10" s="235" t="s">
        <v>26</v>
      </c>
      <c r="G10" s="50">
        <f>((C10+D10)/2)/17277</f>
        <v>5.2092377148810556E-2</v>
      </c>
      <c r="H10" s="525" t="s">
        <v>778</v>
      </c>
      <c r="I10" s="235" t="s">
        <v>26</v>
      </c>
      <c r="J10" s="235" t="s">
        <v>26</v>
      </c>
      <c r="K10" s="235" t="s">
        <v>26</v>
      </c>
      <c r="L10" s="235" t="s">
        <v>618</v>
      </c>
      <c r="M10" s="235" t="s">
        <v>619</v>
      </c>
      <c r="N10" s="235" t="s">
        <v>26</v>
      </c>
      <c r="O10" s="250" t="s">
        <v>620</v>
      </c>
      <c r="P10" s="103" t="s">
        <v>621</v>
      </c>
      <c r="Q10" s="575" t="s">
        <v>779</v>
      </c>
    </row>
    <row r="11" spans="1:17" ht="27.6" x14ac:dyDescent="0.3">
      <c r="A11" s="608"/>
      <c r="B11" s="89" t="s">
        <v>622</v>
      </c>
      <c r="C11" s="505">
        <v>1790</v>
      </c>
      <c r="D11" s="506"/>
      <c r="E11" s="507" t="s">
        <v>26</v>
      </c>
      <c r="F11" s="508"/>
      <c r="G11" s="90">
        <f>C11/17277</f>
        <v>0.10360595010707878</v>
      </c>
      <c r="H11" s="526"/>
      <c r="I11" s="235" t="s">
        <v>26</v>
      </c>
      <c r="J11" s="235" t="s">
        <v>26</v>
      </c>
      <c r="K11" s="235" t="s">
        <v>26</v>
      </c>
      <c r="L11" s="235" t="s">
        <v>618</v>
      </c>
      <c r="M11" s="235" t="s">
        <v>619</v>
      </c>
      <c r="N11" s="235" t="s">
        <v>26</v>
      </c>
      <c r="O11" s="250" t="s">
        <v>620</v>
      </c>
      <c r="P11" s="103" t="s">
        <v>621</v>
      </c>
      <c r="Q11" s="576"/>
    </row>
    <row r="12" spans="1:17" ht="27.6" x14ac:dyDescent="0.3">
      <c r="A12" s="608"/>
      <c r="B12" s="89">
        <v>2020</v>
      </c>
      <c r="C12" s="51">
        <f>1668*0.8</f>
        <v>1334.4</v>
      </c>
      <c r="D12" s="51">
        <f>1668*1.2</f>
        <v>2001.6</v>
      </c>
      <c r="E12" s="235" t="s">
        <v>26</v>
      </c>
      <c r="F12" s="235" t="s">
        <v>26</v>
      </c>
      <c r="G12" s="50">
        <f>((C12+D12)/2)/17277</f>
        <v>9.6544538982462236E-2</v>
      </c>
      <c r="H12" s="526"/>
      <c r="I12" s="61">
        <v>7.6E-3</v>
      </c>
      <c r="J12" s="62">
        <v>31</v>
      </c>
      <c r="K12" s="235" t="s">
        <v>26</v>
      </c>
      <c r="L12" s="235" t="s">
        <v>618</v>
      </c>
      <c r="M12" s="235" t="s">
        <v>619</v>
      </c>
      <c r="N12" s="235" t="s">
        <v>26</v>
      </c>
      <c r="O12" s="250" t="s">
        <v>620</v>
      </c>
      <c r="P12" s="103" t="s">
        <v>621</v>
      </c>
      <c r="Q12" s="576"/>
    </row>
    <row r="13" spans="1:17" ht="27.6" x14ac:dyDescent="0.3">
      <c r="A13" s="608"/>
      <c r="B13" s="89">
        <v>2021</v>
      </c>
      <c r="C13" s="51">
        <f t="shared" ref="C13:C14" si="0">1668*0.8</f>
        <v>1334.4</v>
      </c>
      <c r="D13" s="51">
        <f t="shared" ref="D13:D14" si="1">1668*1.2</f>
        <v>2001.6</v>
      </c>
      <c r="E13" s="235" t="s">
        <v>26</v>
      </c>
      <c r="F13" s="235" t="s">
        <v>26</v>
      </c>
      <c r="G13" s="50">
        <f t="shared" ref="G13:G15" si="2">((C13+D13)/2)/17277</f>
        <v>9.6544538982462236E-2</v>
      </c>
      <c r="H13" s="526"/>
      <c r="I13" s="61">
        <v>7.6E-3</v>
      </c>
      <c r="J13" s="62">
        <v>31</v>
      </c>
      <c r="K13" s="235" t="s">
        <v>26</v>
      </c>
      <c r="L13" s="235" t="s">
        <v>618</v>
      </c>
      <c r="M13" s="235" t="s">
        <v>619</v>
      </c>
      <c r="N13" s="235" t="s">
        <v>26</v>
      </c>
      <c r="O13" s="250" t="s">
        <v>620</v>
      </c>
      <c r="P13" s="103" t="s">
        <v>621</v>
      </c>
      <c r="Q13" s="576"/>
    </row>
    <row r="14" spans="1:17" ht="27.6" x14ac:dyDescent="0.3">
      <c r="A14" s="608"/>
      <c r="B14" s="89">
        <v>2022</v>
      </c>
      <c r="C14" s="51">
        <f t="shared" si="0"/>
        <v>1334.4</v>
      </c>
      <c r="D14" s="51">
        <f t="shared" si="1"/>
        <v>2001.6</v>
      </c>
      <c r="E14" s="235" t="s">
        <v>26</v>
      </c>
      <c r="F14" s="235" t="s">
        <v>26</v>
      </c>
      <c r="G14" s="50">
        <f t="shared" si="2"/>
        <v>9.6544538982462236E-2</v>
      </c>
      <c r="H14" s="526"/>
      <c r="I14" s="61">
        <v>7.6E-3</v>
      </c>
      <c r="J14" s="62">
        <v>31</v>
      </c>
      <c r="K14" s="235" t="s">
        <v>26</v>
      </c>
      <c r="L14" s="235" t="s">
        <v>618</v>
      </c>
      <c r="M14" s="235" t="s">
        <v>619</v>
      </c>
      <c r="N14" s="235" t="s">
        <v>26</v>
      </c>
      <c r="O14" s="250" t="s">
        <v>620</v>
      </c>
      <c r="P14" s="103" t="s">
        <v>621</v>
      </c>
      <c r="Q14" s="576"/>
    </row>
    <row r="15" spans="1:17" ht="34.200000000000003" customHeight="1" x14ac:dyDescent="0.3">
      <c r="A15" s="608"/>
      <c r="B15" s="104" t="s">
        <v>623</v>
      </c>
      <c r="C15" s="51">
        <f>SUM(C12:C14)</f>
        <v>4003.2000000000003</v>
      </c>
      <c r="D15" s="51">
        <f>SUM(D12:D14)</f>
        <v>6004.7999999999993</v>
      </c>
      <c r="E15" s="235" t="s">
        <v>26</v>
      </c>
      <c r="F15" s="235" t="s">
        <v>26</v>
      </c>
      <c r="G15" s="50">
        <f t="shared" si="2"/>
        <v>0.28963361694738671</v>
      </c>
      <c r="H15" s="527"/>
      <c r="I15" s="61">
        <v>7.6E-3</v>
      </c>
      <c r="J15" s="62">
        <v>31</v>
      </c>
      <c r="K15" s="235" t="s">
        <v>26</v>
      </c>
      <c r="L15" s="235" t="s">
        <v>618</v>
      </c>
      <c r="M15" s="235" t="s">
        <v>619</v>
      </c>
      <c r="N15" s="235" t="s">
        <v>26</v>
      </c>
      <c r="O15" s="250" t="s">
        <v>620</v>
      </c>
      <c r="P15" s="103" t="s">
        <v>621</v>
      </c>
      <c r="Q15" s="577"/>
    </row>
    <row r="16" spans="1:17" ht="27.6" x14ac:dyDescent="0.3">
      <c r="A16" s="561" t="s">
        <v>780</v>
      </c>
      <c r="B16" s="89" t="s">
        <v>616</v>
      </c>
      <c r="C16" s="234" t="s">
        <v>641</v>
      </c>
      <c r="D16" s="234" t="s">
        <v>641</v>
      </c>
      <c r="E16" s="234" t="s">
        <v>26</v>
      </c>
      <c r="F16" s="234" t="s">
        <v>26</v>
      </c>
      <c r="G16" s="234" t="s">
        <v>26</v>
      </c>
      <c r="H16" s="515" t="s">
        <v>778</v>
      </c>
      <c r="I16" s="234" t="s">
        <v>26</v>
      </c>
      <c r="J16" s="234" t="s">
        <v>26</v>
      </c>
      <c r="K16" s="234" t="s">
        <v>26</v>
      </c>
      <c r="L16" s="234" t="s">
        <v>618</v>
      </c>
      <c r="M16" s="234" t="s">
        <v>619</v>
      </c>
      <c r="N16" s="234" t="s">
        <v>26</v>
      </c>
      <c r="O16" s="249" t="s">
        <v>620</v>
      </c>
      <c r="P16" s="107" t="s">
        <v>621</v>
      </c>
      <c r="Q16" s="109"/>
    </row>
    <row r="17" spans="1:17" ht="27.6" x14ac:dyDescent="0.3">
      <c r="A17" s="561"/>
      <c r="B17" s="89" t="s">
        <v>622</v>
      </c>
      <c r="C17" s="522" t="s">
        <v>641</v>
      </c>
      <c r="D17" s="523"/>
      <c r="E17" s="522" t="s">
        <v>26</v>
      </c>
      <c r="F17" s="523"/>
      <c r="G17" s="234" t="s">
        <v>26</v>
      </c>
      <c r="H17" s="516"/>
      <c r="I17" s="234" t="s">
        <v>26</v>
      </c>
      <c r="J17" s="234" t="s">
        <v>26</v>
      </c>
      <c r="K17" s="234" t="s">
        <v>26</v>
      </c>
      <c r="L17" s="234" t="s">
        <v>618</v>
      </c>
      <c r="M17" s="234" t="s">
        <v>619</v>
      </c>
      <c r="N17" s="234" t="s">
        <v>26</v>
      </c>
      <c r="O17" s="249" t="s">
        <v>620</v>
      </c>
      <c r="P17" s="107" t="s">
        <v>621</v>
      </c>
      <c r="Q17" s="109"/>
    </row>
    <row r="18" spans="1:17" ht="27.6" x14ac:dyDescent="0.3">
      <c r="A18" s="561"/>
      <c r="B18" s="89">
        <v>2020</v>
      </c>
      <c r="C18" s="234" t="s">
        <v>641</v>
      </c>
      <c r="D18" s="234" t="s">
        <v>641</v>
      </c>
      <c r="E18" s="234" t="s">
        <v>26</v>
      </c>
      <c r="F18" s="234" t="s">
        <v>26</v>
      </c>
      <c r="G18" s="234" t="s">
        <v>26</v>
      </c>
      <c r="H18" s="516"/>
      <c r="I18" s="234" t="s">
        <v>26</v>
      </c>
      <c r="J18" s="234" t="s">
        <v>26</v>
      </c>
      <c r="K18" s="234" t="s">
        <v>26</v>
      </c>
      <c r="L18" s="234" t="s">
        <v>618</v>
      </c>
      <c r="M18" s="234" t="s">
        <v>619</v>
      </c>
      <c r="N18" s="234" t="s">
        <v>26</v>
      </c>
      <c r="O18" s="249" t="s">
        <v>620</v>
      </c>
      <c r="P18" s="107" t="s">
        <v>621</v>
      </c>
      <c r="Q18" s="109"/>
    </row>
    <row r="19" spans="1:17" ht="27.6" x14ac:dyDescent="0.3">
      <c r="A19" s="561"/>
      <c r="B19" s="89">
        <v>2021</v>
      </c>
      <c r="C19" s="234" t="s">
        <v>641</v>
      </c>
      <c r="D19" s="234" t="s">
        <v>641</v>
      </c>
      <c r="E19" s="234" t="s">
        <v>26</v>
      </c>
      <c r="F19" s="234" t="s">
        <v>26</v>
      </c>
      <c r="G19" s="234" t="s">
        <v>26</v>
      </c>
      <c r="H19" s="516"/>
      <c r="I19" s="234" t="s">
        <v>26</v>
      </c>
      <c r="J19" s="234" t="s">
        <v>26</v>
      </c>
      <c r="K19" s="234" t="s">
        <v>26</v>
      </c>
      <c r="L19" s="234" t="s">
        <v>618</v>
      </c>
      <c r="M19" s="234" t="s">
        <v>619</v>
      </c>
      <c r="N19" s="234" t="s">
        <v>26</v>
      </c>
      <c r="O19" s="249" t="s">
        <v>620</v>
      </c>
      <c r="P19" s="107" t="s">
        <v>621</v>
      </c>
      <c r="Q19" s="109"/>
    </row>
    <row r="20" spans="1:17" ht="27.6" x14ac:dyDescent="0.3">
      <c r="A20" s="561"/>
      <c r="B20" s="89">
        <v>2022</v>
      </c>
      <c r="C20" s="234" t="s">
        <v>641</v>
      </c>
      <c r="D20" s="234" t="s">
        <v>641</v>
      </c>
      <c r="E20" s="234" t="s">
        <v>26</v>
      </c>
      <c r="F20" s="234" t="s">
        <v>26</v>
      </c>
      <c r="G20" s="234" t="s">
        <v>26</v>
      </c>
      <c r="H20" s="516"/>
      <c r="I20" s="234" t="s">
        <v>26</v>
      </c>
      <c r="J20" s="234" t="s">
        <v>26</v>
      </c>
      <c r="K20" s="234" t="s">
        <v>26</v>
      </c>
      <c r="L20" s="234" t="s">
        <v>618</v>
      </c>
      <c r="M20" s="234" t="s">
        <v>619</v>
      </c>
      <c r="N20" s="234" t="s">
        <v>26</v>
      </c>
      <c r="O20" s="249" t="s">
        <v>620</v>
      </c>
      <c r="P20" s="107" t="s">
        <v>621</v>
      </c>
      <c r="Q20" s="109"/>
    </row>
    <row r="21" spans="1:17" ht="27.6" x14ac:dyDescent="0.3">
      <c r="A21" s="561"/>
      <c r="B21" s="104" t="s">
        <v>623</v>
      </c>
      <c r="C21" s="234" t="s">
        <v>641</v>
      </c>
      <c r="D21" s="234" t="s">
        <v>641</v>
      </c>
      <c r="E21" s="234" t="s">
        <v>26</v>
      </c>
      <c r="F21" s="234" t="s">
        <v>26</v>
      </c>
      <c r="G21" s="234" t="s">
        <v>26</v>
      </c>
      <c r="H21" s="517"/>
      <c r="I21" s="234" t="s">
        <v>26</v>
      </c>
      <c r="J21" s="234" t="s">
        <v>26</v>
      </c>
      <c r="K21" s="234" t="s">
        <v>26</v>
      </c>
      <c r="L21" s="234" t="s">
        <v>618</v>
      </c>
      <c r="M21" s="234" t="s">
        <v>619</v>
      </c>
      <c r="N21" s="234" t="s">
        <v>26</v>
      </c>
      <c r="O21" s="249" t="s">
        <v>620</v>
      </c>
      <c r="P21" s="107" t="s">
        <v>621</v>
      </c>
      <c r="Q21" s="109"/>
    </row>
    <row r="22" spans="1:17" ht="41.4" x14ac:dyDescent="0.3">
      <c r="A22" s="561" t="s">
        <v>781</v>
      </c>
      <c r="B22" s="89" t="s">
        <v>616</v>
      </c>
      <c r="C22" s="235" t="s">
        <v>641</v>
      </c>
      <c r="D22" s="235" t="s">
        <v>641</v>
      </c>
      <c r="E22" s="235" t="s">
        <v>26</v>
      </c>
      <c r="F22" s="235" t="s">
        <v>26</v>
      </c>
      <c r="G22" s="235" t="s">
        <v>26</v>
      </c>
      <c r="H22" s="235" t="s">
        <v>782</v>
      </c>
      <c r="I22" s="235" t="s">
        <v>26</v>
      </c>
      <c r="J22" s="235" t="s">
        <v>26</v>
      </c>
      <c r="K22" s="235" t="s">
        <v>26</v>
      </c>
      <c r="L22" s="235" t="s">
        <v>618</v>
      </c>
      <c r="M22" s="235" t="s">
        <v>619</v>
      </c>
      <c r="N22" s="235" t="s">
        <v>26</v>
      </c>
      <c r="O22" s="250" t="s">
        <v>620</v>
      </c>
      <c r="P22" s="17" t="s">
        <v>783</v>
      </c>
      <c r="Q22" s="145"/>
    </row>
    <row r="23" spans="1:17" ht="41.4" x14ac:dyDescent="0.3">
      <c r="A23" s="561"/>
      <c r="B23" s="89" t="s">
        <v>622</v>
      </c>
      <c r="C23" s="507" t="s">
        <v>641</v>
      </c>
      <c r="D23" s="508"/>
      <c r="E23" s="507" t="s">
        <v>26</v>
      </c>
      <c r="F23" s="508"/>
      <c r="G23" s="235" t="s">
        <v>26</v>
      </c>
      <c r="H23" s="235" t="s">
        <v>782</v>
      </c>
      <c r="I23" s="235" t="s">
        <v>26</v>
      </c>
      <c r="J23" s="235" t="s">
        <v>26</v>
      </c>
      <c r="K23" s="235" t="s">
        <v>26</v>
      </c>
      <c r="L23" s="235" t="s">
        <v>618</v>
      </c>
      <c r="M23" s="235" t="s">
        <v>619</v>
      </c>
      <c r="N23" s="235" t="s">
        <v>26</v>
      </c>
      <c r="O23" s="250" t="s">
        <v>620</v>
      </c>
      <c r="P23" s="17" t="s">
        <v>783</v>
      </c>
      <c r="Q23" s="145"/>
    </row>
    <row r="24" spans="1:17" ht="41.4" x14ac:dyDescent="0.3">
      <c r="A24" s="561"/>
      <c r="B24" s="89">
        <v>2020</v>
      </c>
      <c r="C24" s="235" t="s">
        <v>641</v>
      </c>
      <c r="D24" s="235" t="s">
        <v>641</v>
      </c>
      <c r="E24" s="235" t="s">
        <v>26</v>
      </c>
      <c r="F24" s="235" t="s">
        <v>26</v>
      </c>
      <c r="G24" s="235" t="s">
        <v>26</v>
      </c>
      <c r="H24" s="235" t="s">
        <v>782</v>
      </c>
      <c r="I24" s="52">
        <v>0.5</v>
      </c>
      <c r="J24" s="62">
        <v>117.97871598591747</v>
      </c>
      <c r="K24" s="235" t="s">
        <v>26</v>
      </c>
      <c r="L24" s="235" t="s">
        <v>618</v>
      </c>
      <c r="M24" s="235" t="s">
        <v>619</v>
      </c>
      <c r="N24" s="235" t="s">
        <v>26</v>
      </c>
      <c r="O24" s="250" t="s">
        <v>620</v>
      </c>
      <c r="P24" s="17" t="s">
        <v>783</v>
      </c>
      <c r="Q24" s="145"/>
    </row>
    <row r="25" spans="1:17" ht="41.4" x14ac:dyDescent="0.3">
      <c r="A25" s="561"/>
      <c r="B25" s="89">
        <v>2021</v>
      </c>
      <c r="C25" s="235" t="s">
        <v>641</v>
      </c>
      <c r="D25" s="235" t="s">
        <v>641</v>
      </c>
      <c r="E25" s="235" t="s">
        <v>26</v>
      </c>
      <c r="F25" s="235" t="s">
        <v>26</v>
      </c>
      <c r="G25" s="235" t="s">
        <v>26</v>
      </c>
      <c r="H25" s="235" t="s">
        <v>782</v>
      </c>
      <c r="I25" s="52">
        <v>0.5</v>
      </c>
      <c r="J25" s="62">
        <v>117.97871598591747</v>
      </c>
      <c r="K25" s="235" t="s">
        <v>26</v>
      </c>
      <c r="L25" s="235" t="s">
        <v>618</v>
      </c>
      <c r="M25" s="235" t="s">
        <v>619</v>
      </c>
      <c r="N25" s="235" t="s">
        <v>26</v>
      </c>
      <c r="O25" s="250" t="s">
        <v>620</v>
      </c>
      <c r="P25" s="17" t="s">
        <v>783</v>
      </c>
      <c r="Q25" s="145"/>
    </row>
    <row r="26" spans="1:17" ht="41.4" x14ac:dyDescent="0.3">
      <c r="A26" s="561"/>
      <c r="B26" s="89">
        <v>2022</v>
      </c>
      <c r="C26" s="235" t="s">
        <v>641</v>
      </c>
      <c r="D26" s="235" t="s">
        <v>641</v>
      </c>
      <c r="E26" s="235" t="s">
        <v>26</v>
      </c>
      <c r="F26" s="235" t="s">
        <v>26</v>
      </c>
      <c r="G26" s="235" t="s">
        <v>26</v>
      </c>
      <c r="H26" s="235" t="s">
        <v>782</v>
      </c>
      <c r="I26" s="52">
        <v>0.5</v>
      </c>
      <c r="J26" s="62">
        <v>117.97871598591747</v>
      </c>
      <c r="K26" s="235" t="s">
        <v>26</v>
      </c>
      <c r="L26" s="235" t="s">
        <v>618</v>
      </c>
      <c r="M26" s="235" t="s">
        <v>619</v>
      </c>
      <c r="N26" s="235" t="s">
        <v>26</v>
      </c>
      <c r="O26" s="250" t="s">
        <v>620</v>
      </c>
      <c r="P26" s="17" t="s">
        <v>783</v>
      </c>
      <c r="Q26" s="145"/>
    </row>
    <row r="27" spans="1:17" ht="41.4" x14ac:dyDescent="0.3">
      <c r="A27" s="561"/>
      <c r="B27" s="104" t="s">
        <v>623</v>
      </c>
      <c r="C27" s="235" t="s">
        <v>641</v>
      </c>
      <c r="D27" s="235" t="s">
        <v>641</v>
      </c>
      <c r="E27" s="235" t="s">
        <v>26</v>
      </c>
      <c r="F27" s="235" t="s">
        <v>26</v>
      </c>
      <c r="G27" s="235" t="s">
        <v>26</v>
      </c>
      <c r="H27" s="235" t="s">
        <v>782</v>
      </c>
      <c r="I27" s="52">
        <v>0.5</v>
      </c>
      <c r="J27" s="62">
        <v>117.97871598591747</v>
      </c>
      <c r="K27" s="235" t="s">
        <v>26</v>
      </c>
      <c r="L27" s="235" t="s">
        <v>618</v>
      </c>
      <c r="M27" s="235" t="s">
        <v>619</v>
      </c>
      <c r="N27" s="235" t="s">
        <v>26</v>
      </c>
      <c r="O27" s="250" t="s">
        <v>620</v>
      </c>
      <c r="P27" s="17" t="s">
        <v>783</v>
      </c>
      <c r="Q27" s="145"/>
    </row>
    <row r="28" spans="1:17" ht="41.4" x14ac:dyDescent="0.3">
      <c r="A28" s="561" t="s">
        <v>784</v>
      </c>
      <c r="B28" s="104" t="s">
        <v>616</v>
      </c>
      <c r="C28" s="249" t="s">
        <v>641</v>
      </c>
      <c r="D28" s="249" t="s">
        <v>641</v>
      </c>
      <c r="E28" s="249" t="s">
        <v>26</v>
      </c>
      <c r="F28" s="249" t="s">
        <v>26</v>
      </c>
      <c r="G28" s="249" t="s">
        <v>26</v>
      </c>
      <c r="H28" s="249" t="s">
        <v>26</v>
      </c>
      <c r="I28" s="499" t="s">
        <v>630</v>
      </c>
      <c r="J28" s="500"/>
      <c r="K28" s="249" t="s">
        <v>26</v>
      </c>
      <c r="L28" s="249" t="s">
        <v>618</v>
      </c>
      <c r="M28" s="249" t="s">
        <v>619</v>
      </c>
      <c r="N28" s="249" t="s">
        <v>26</v>
      </c>
      <c r="O28" s="249" t="s">
        <v>620</v>
      </c>
      <c r="P28" s="144" t="s">
        <v>785</v>
      </c>
      <c r="Q28" s="146"/>
    </row>
    <row r="29" spans="1:17" ht="41.4" x14ac:dyDescent="0.3">
      <c r="A29" s="561"/>
      <c r="B29" s="104" t="s">
        <v>622</v>
      </c>
      <c r="C29" s="611" t="s">
        <v>641</v>
      </c>
      <c r="D29" s="612"/>
      <c r="E29" s="249" t="s">
        <v>26</v>
      </c>
      <c r="F29" s="249" t="s">
        <v>26</v>
      </c>
      <c r="G29" s="249" t="s">
        <v>26</v>
      </c>
      <c r="H29" s="249" t="s">
        <v>26</v>
      </c>
      <c r="I29" s="501"/>
      <c r="J29" s="502"/>
      <c r="K29" s="249" t="s">
        <v>26</v>
      </c>
      <c r="L29" s="249" t="s">
        <v>618</v>
      </c>
      <c r="M29" s="249" t="s">
        <v>619</v>
      </c>
      <c r="N29" s="249" t="s">
        <v>26</v>
      </c>
      <c r="O29" s="249" t="s">
        <v>620</v>
      </c>
      <c r="P29" s="144" t="s">
        <v>785</v>
      </c>
      <c r="Q29" s="146"/>
    </row>
    <row r="30" spans="1:17" ht="41.4" x14ac:dyDescent="0.3">
      <c r="A30" s="561"/>
      <c r="B30" s="104">
        <v>2020</v>
      </c>
      <c r="C30" s="249" t="s">
        <v>641</v>
      </c>
      <c r="D30" s="249" t="s">
        <v>641</v>
      </c>
      <c r="E30" s="249" t="s">
        <v>26</v>
      </c>
      <c r="F30" s="249" t="s">
        <v>26</v>
      </c>
      <c r="G30" s="249" t="s">
        <v>26</v>
      </c>
      <c r="H30" s="249" t="s">
        <v>26</v>
      </c>
      <c r="I30" s="501"/>
      <c r="J30" s="502"/>
      <c r="K30" s="249" t="s">
        <v>26</v>
      </c>
      <c r="L30" s="249" t="s">
        <v>618</v>
      </c>
      <c r="M30" s="249" t="s">
        <v>619</v>
      </c>
      <c r="N30" s="249" t="s">
        <v>26</v>
      </c>
      <c r="O30" s="249" t="s">
        <v>620</v>
      </c>
      <c r="P30" s="144" t="s">
        <v>785</v>
      </c>
      <c r="Q30" s="146"/>
    </row>
    <row r="31" spans="1:17" ht="41.4" x14ac:dyDescent="0.3">
      <c r="A31" s="561"/>
      <c r="B31" s="104">
        <v>2021</v>
      </c>
      <c r="C31" s="249" t="s">
        <v>641</v>
      </c>
      <c r="D31" s="249" t="s">
        <v>641</v>
      </c>
      <c r="E31" s="249" t="s">
        <v>26</v>
      </c>
      <c r="F31" s="249" t="s">
        <v>26</v>
      </c>
      <c r="G31" s="249" t="s">
        <v>26</v>
      </c>
      <c r="H31" s="249" t="s">
        <v>26</v>
      </c>
      <c r="I31" s="501"/>
      <c r="J31" s="502"/>
      <c r="K31" s="249" t="s">
        <v>26</v>
      </c>
      <c r="L31" s="249" t="s">
        <v>618</v>
      </c>
      <c r="M31" s="249" t="s">
        <v>619</v>
      </c>
      <c r="N31" s="249" t="s">
        <v>26</v>
      </c>
      <c r="O31" s="249" t="s">
        <v>620</v>
      </c>
      <c r="P31" s="144" t="s">
        <v>785</v>
      </c>
      <c r="Q31" s="146"/>
    </row>
    <row r="32" spans="1:17" ht="41.4" x14ac:dyDescent="0.3">
      <c r="A32" s="561"/>
      <c r="B32" s="104">
        <v>2022</v>
      </c>
      <c r="C32" s="249" t="s">
        <v>641</v>
      </c>
      <c r="D32" s="249" t="s">
        <v>641</v>
      </c>
      <c r="E32" s="249" t="s">
        <v>26</v>
      </c>
      <c r="F32" s="249" t="s">
        <v>26</v>
      </c>
      <c r="G32" s="249" t="s">
        <v>26</v>
      </c>
      <c r="H32" s="249" t="s">
        <v>26</v>
      </c>
      <c r="I32" s="501"/>
      <c r="J32" s="502"/>
      <c r="K32" s="249" t="s">
        <v>26</v>
      </c>
      <c r="L32" s="249" t="s">
        <v>618</v>
      </c>
      <c r="M32" s="249" t="s">
        <v>619</v>
      </c>
      <c r="N32" s="249" t="s">
        <v>26</v>
      </c>
      <c r="O32" s="249" t="s">
        <v>620</v>
      </c>
      <c r="P32" s="144" t="s">
        <v>785</v>
      </c>
      <c r="Q32" s="146"/>
    </row>
    <row r="33" spans="1:17" ht="41.4" x14ac:dyDescent="0.3">
      <c r="A33" s="561"/>
      <c r="B33" s="104" t="s">
        <v>623</v>
      </c>
      <c r="C33" s="249" t="s">
        <v>641</v>
      </c>
      <c r="D33" s="249" t="s">
        <v>641</v>
      </c>
      <c r="E33" s="249" t="s">
        <v>26</v>
      </c>
      <c r="F33" s="249" t="s">
        <v>26</v>
      </c>
      <c r="G33" s="249" t="s">
        <v>26</v>
      </c>
      <c r="H33" s="249" t="s">
        <v>26</v>
      </c>
      <c r="I33" s="503"/>
      <c r="J33" s="504"/>
      <c r="K33" s="249" t="s">
        <v>26</v>
      </c>
      <c r="L33" s="249" t="s">
        <v>618</v>
      </c>
      <c r="M33" s="249" t="s">
        <v>619</v>
      </c>
      <c r="N33" s="249" t="s">
        <v>26</v>
      </c>
      <c r="O33" s="249" t="s">
        <v>620</v>
      </c>
      <c r="P33" s="144" t="s">
        <v>785</v>
      </c>
      <c r="Q33" s="146"/>
    </row>
    <row r="34" spans="1:17" ht="41.4" x14ac:dyDescent="0.3">
      <c r="A34" s="561" t="s">
        <v>786</v>
      </c>
      <c r="B34" s="104" t="s">
        <v>616</v>
      </c>
      <c r="C34" s="250" t="s">
        <v>26</v>
      </c>
      <c r="D34" s="250" t="s">
        <v>26</v>
      </c>
      <c r="E34" s="250" t="s">
        <v>26</v>
      </c>
      <c r="F34" s="250" t="s">
        <v>26</v>
      </c>
      <c r="G34" s="250" t="s">
        <v>26</v>
      </c>
      <c r="H34" s="250" t="s">
        <v>26</v>
      </c>
      <c r="I34" s="606" t="s">
        <v>630</v>
      </c>
      <c r="J34" s="606"/>
      <c r="K34" s="250" t="s">
        <v>26</v>
      </c>
      <c r="L34" s="250" t="s">
        <v>618</v>
      </c>
      <c r="M34" s="250" t="s">
        <v>619</v>
      </c>
      <c r="N34" s="250" t="s">
        <v>26</v>
      </c>
      <c r="O34" s="250" t="s">
        <v>620</v>
      </c>
      <c r="P34" s="17" t="s">
        <v>785</v>
      </c>
      <c r="Q34" s="111"/>
    </row>
    <row r="35" spans="1:17" ht="41.4" x14ac:dyDescent="0.3">
      <c r="A35" s="561"/>
      <c r="B35" s="104" t="s">
        <v>622</v>
      </c>
      <c r="C35" s="609" t="s">
        <v>26</v>
      </c>
      <c r="D35" s="610"/>
      <c r="E35" s="250" t="s">
        <v>26</v>
      </c>
      <c r="F35" s="250" t="s">
        <v>26</v>
      </c>
      <c r="G35" s="250" t="s">
        <v>26</v>
      </c>
      <c r="H35" s="250" t="s">
        <v>26</v>
      </c>
      <c r="I35" s="606"/>
      <c r="J35" s="606"/>
      <c r="K35" s="250" t="s">
        <v>26</v>
      </c>
      <c r="L35" s="250" t="s">
        <v>618</v>
      </c>
      <c r="M35" s="250" t="s">
        <v>619</v>
      </c>
      <c r="N35" s="250" t="s">
        <v>26</v>
      </c>
      <c r="O35" s="250" t="s">
        <v>620</v>
      </c>
      <c r="P35" s="108" t="s">
        <v>785</v>
      </c>
      <c r="Q35" s="111"/>
    </row>
    <row r="36" spans="1:17" ht="41.4" x14ac:dyDescent="0.3">
      <c r="A36" s="561"/>
      <c r="B36" s="104">
        <v>2020</v>
      </c>
      <c r="C36" s="91">
        <v>2000</v>
      </c>
      <c r="D36" s="91">
        <v>4000</v>
      </c>
      <c r="E36" s="250" t="s">
        <v>26</v>
      </c>
      <c r="F36" s="250" t="s">
        <v>26</v>
      </c>
      <c r="G36" s="92">
        <v>0.17399999999999999</v>
      </c>
      <c r="H36" s="250" t="s">
        <v>26</v>
      </c>
      <c r="I36" s="606"/>
      <c r="J36" s="606"/>
      <c r="K36" s="250" t="s">
        <v>26</v>
      </c>
      <c r="L36" s="250" t="s">
        <v>618</v>
      </c>
      <c r="M36" s="250" t="s">
        <v>619</v>
      </c>
      <c r="N36" s="250" t="s">
        <v>26</v>
      </c>
      <c r="O36" s="250" t="s">
        <v>620</v>
      </c>
      <c r="P36" s="108" t="s">
        <v>785</v>
      </c>
      <c r="Q36" s="111"/>
    </row>
    <row r="37" spans="1:17" ht="41.4" x14ac:dyDescent="0.3">
      <c r="A37" s="561"/>
      <c r="B37" s="104">
        <v>2021</v>
      </c>
      <c r="C37" s="91">
        <v>0</v>
      </c>
      <c r="D37" s="91">
        <v>0</v>
      </c>
      <c r="E37" s="250" t="s">
        <v>26</v>
      </c>
      <c r="F37" s="250" t="s">
        <v>26</v>
      </c>
      <c r="G37" s="92">
        <v>0</v>
      </c>
      <c r="H37" s="250" t="s">
        <v>26</v>
      </c>
      <c r="I37" s="606"/>
      <c r="J37" s="606"/>
      <c r="K37" s="250" t="s">
        <v>26</v>
      </c>
      <c r="L37" s="250" t="s">
        <v>618</v>
      </c>
      <c r="M37" s="250" t="s">
        <v>619</v>
      </c>
      <c r="N37" s="250" t="s">
        <v>26</v>
      </c>
      <c r="O37" s="250" t="s">
        <v>620</v>
      </c>
      <c r="P37" s="108" t="s">
        <v>785</v>
      </c>
      <c r="Q37" s="111"/>
    </row>
    <row r="38" spans="1:17" ht="41.4" x14ac:dyDescent="0.3">
      <c r="A38" s="561"/>
      <c r="B38" s="104">
        <v>2022</v>
      </c>
      <c r="C38" s="91">
        <v>0</v>
      </c>
      <c r="D38" s="91">
        <v>0</v>
      </c>
      <c r="E38" s="250" t="s">
        <v>26</v>
      </c>
      <c r="F38" s="250" t="s">
        <v>26</v>
      </c>
      <c r="G38" s="92">
        <v>0</v>
      </c>
      <c r="H38" s="250" t="s">
        <v>26</v>
      </c>
      <c r="I38" s="606"/>
      <c r="J38" s="606"/>
      <c r="K38" s="250" t="s">
        <v>26</v>
      </c>
      <c r="L38" s="250" t="s">
        <v>618</v>
      </c>
      <c r="M38" s="250" t="s">
        <v>619</v>
      </c>
      <c r="N38" s="250" t="s">
        <v>26</v>
      </c>
      <c r="O38" s="250" t="s">
        <v>620</v>
      </c>
      <c r="P38" s="108" t="s">
        <v>785</v>
      </c>
      <c r="Q38" s="111"/>
    </row>
    <row r="39" spans="1:17" ht="41.4" x14ac:dyDescent="0.3">
      <c r="A39" s="561"/>
      <c r="B39" s="104" t="s">
        <v>623</v>
      </c>
      <c r="C39" s="91">
        <v>2000</v>
      </c>
      <c r="D39" s="91">
        <v>4000</v>
      </c>
      <c r="E39" s="250" t="s">
        <v>26</v>
      </c>
      <c r="F39" s="250" t="s">
        <v>26</v>
      </c>
      <c r="G39" s="92">
        <v>0.17399999999999999</v>
      </c>
      <c r="H39" s="250" t="s">
        <v>26</v>
      </c>
      <c r="I39" s="606"/>
      <c r="J39" s="606"/>
      <c r="K39" s="250" t="s">
        <v>26</v>
      </c>
      <c r="L39" s="250" t="s">
        <v>618</v>
      </c>
      <c r="M39" s="250" t="s">
        <v>619</v>
      </c>
      <c r="N39" s="250" t="s">
        <v>26</v>
      </c>
      <c r="O39" s="250" t="s">
        <v>620</v>
      </c>
      <c r="P39" s="108" t="s">
        <v>785</v>
      </c>
      <c r="Q39" s="111"/>
    </row>
    <row r="40" spans="1:17" s="95" customFormat="1" ht="41.4" x14ac:dyDescent="0.3">
      <c r="A40" s="561" t="s">
        <v>787</v>
      </c>
      <c r="B40" s="104" t="s">
        <v>616</v>
      </c>
      <c r="C40" s="93">
        <v>2000</v>
      </c>
      <c r="D40" s="93">
        <v>3000</v>
      </c>
      <c r="E40" s="249" t="s">
        <v>26</v>
      </c>
      <c r="F40" s="249" t="s">
        <v>26</v>
      </c>
      <c r="G40" s="94">
        <v>0.14499999999999999</v>
      </c>
      <c r="H40" s="249" t="s">
        <v>26</v>
      </c>
      <c r="I40" s="613" t="s">
        <v>630</v>
      </c>
      <c r="J40" s="613"/>
      <c r="K40" s="249" t="s">
        <v>26</v>
      </c>
      <c r="L40" s="249" t="s">
        <v>618</v>
      </c>
      <c r="M40" s="249" t="s">
        <v>619</v>
      </c>
      <c r="N40" s="249" t="s">
        <v>26</v>
      </c>
      <c r="O40" s="249" t="s">
        <v>620</v>
      </c>
      <c r="P40" s="144" t="s">
        <v>785</v>
      </c>
      <c r="Q40" s="249"/>
    </row>
    <row r="41" spans="1:17" s="95" customFormat="1" ht="41.4" x14ac:dyDescent="0.3">
      <c r="A41" s="561"/>
      <c r="B41" s="104" t="s">
        <v>622</v>
      </c>
      <c r="C41" s="614">
        <v>3057</v>
      </c>
      <c r="D41" s="615"/>
      <c r="E41" s="611" t="s">
        <v>26</v>
      </c>
      <c r="F41" s="612"/>
      <c r="G41" s="94">
        <f>3057/17277</f>
        <v>0.1769404410487932</v>
      </c>
      <c r="H41" s="249" t="s">
        <v>26</v>
      </c>
      <c r="I41" s="613"/>
      <c r="J41" s="613"/>
      <c r="K41" s="249" t="s">
        <v>26</v>
      </c>
      <c r="L41" s="249" t="s">
        <v>618</v>
      </c>
      <c r="M41" s="249" t="s">
        <v>619</v>
      </c>
      <c r="N41" s="249" t="s">
        <v>26</v>
      </c>
      <c r="O41" s="249" t="s">
        <v>620</v>
      </c>
      <c r="P41" s="144" t="s">
        <v>785</v>
      </c>
      <c r="Q41" s="249"/>
    </row>
    <row r="42" spans="1:17" s="95" customFormat="1" ht="41.4" x14ac:dyDescent="0.3">
      <c r="A42" s="561"/>
      <c r="B42" s="104">
        <v>2020</v>
      </c>
      <c r="C42" s="93">
        <v>4458</v>
      </c>
      <c r="D42" s="93">
        <v>5397</v>
      </c>
      <c r="E42" s="249" t="s">
        <v>26</v>
      </c>
      <c r="F42" s="249" t="s">
        <v>26</v>
      </c>
      <c r="G42" s="94">
        <v>0.28499999999999998</v>
      </c>
      <c r="H42" s="249" t="s">
        <v>26</v>
      </c>
      <c r="I42" s="613"/>
      <c r="J42" s="613"/>
      <c r="K42" s="249" t="s">
        <v>26</v>
      </c>
      <c r="L42" s="249" t="s">
        <v>618</v>
      </c>
      <c r="M42" s="249" t="s">
        <v>619</v>
      </c>
      <c r="N42" s="249" t="s">
        <v>26</v>
      </c>
      <c r="O42" s="249" t="s">
        <v>620</v>
      </c>
      <c r="P42" s="144" t="s">
        <v>785</v>
      </c>
      <c r="Q42" s="249"/>
    </row>
    <row r="43" spans="1:17" s="95" customFormat="1" ht="41.4" x14ac:dyDescent="0.3">
      <c r="A43" s="561"/>
      <c r="B43" s="104">
        <v>2021</v>
      </c>
      <c r="C43" s="93">
        <v>4458</v>
      </c>
      <c r="D43" s="93">
        <v>5397</v>
      </c>
      <c r="E43" s="249" t="s">
        <v>26</v>
      </c>
      <c r="F43" s="249" t="s">
        <v>26</v>
      </c>
      <c r="G43" s="94">
        <v>0.28499999999999998</v>
      </c>
      <c r="H43" s="249" t="s">
        <v>26</v>
      </c>
      <c r="I43" s="613"/>
      <c r="J43" s="613"/>
      <c r="K43" s="249" t="s">
        <v>26</v>
      </c>
      <c r="L43" s="249" t="s">
        <v>618</v>
      </c>
      <c r="M43" s="249" t="s">
        <v>619</v>
      </c>
      <c r="N43" s="249" t="s">
        <v>26</v>
      </c>
      <c r="O43" s="249" t="s">
        <v>620</v>
      </c>
      <c r="P43" s="144" t="s">
        <v>785</v>
      </c>
      <c r="Q43" s="249"/>
    </row>
    <row r="44" spans="1:17" s="95" customFormat="1" ht="41.4" x14ac:dyDescent="0.3">
      <c r="A44" s="561"/>
      <c r="B44" s="104">
        <v>2022</v>
      </c>
      <c r="C44" s="93">
        <v>4458</v>
      </c>
      <c r="D44" s="93">
        <v>5397</v>
      </c>
      <c r="E44" s="249" t="s">
        <v>26</v>
      </c>
      <c r="F44" s="249" t="s">
        <v>26</v>
      </c>
      <c r="G44" s="94">
        <v>0.28499999999999998</v>
      </c>
      <c r="H44" s="249" t="s">
        <v>26</v>
      </c>
      <c r="I44" s="613"/>
      <c r="J44" s="613"/>
      <c r="K44" s="249" t="s">
        <v>26</v>
      </c>
      <c r="L44" s="249" t="s">
        <v>618</v>
      </c>
      <c r="M44" s="249" t="s">
        <v>619</v>
      </c>
      <c r="N44" s="249" t="s">
        <v>26</v>
      </c>
      <c r="O44" s="249" t="s">
        <v>620</v>
      </c>
      <c r="P44" s="144" t="s">
        <v>785</v>
      </c>
      <c r="Q44" s="249"/>
    </row>
    <row r="45" spans="1:17" s="95" customFormat="1" ht="41.4" x14ac:dyDescent="0.3">
      <c r="A45" s="561"/>
      <c r="B45" s="104" t="s">
        <v>623</v>
      </c>
      <c r="C45" s="93">
        <v>13374</v>
      </c>
      <c r="D45" s="93">
        <v>16191</v>
      </c>
      <c r="E45" s="249" t="s">
        <v>26</v>
      </c>
      <c r="F45" s="249" t="s">
        <v>26</v>
      </c>
      <c r="G45" s="94">
        <v>0.85599999999999998</v>
      </c>
      <c r="H45" s="249" t="s">
        <v>26</v>
      </c>
      <c r="I45" s="613"/>
      <c r="J45" s="613"/>
      <c r="K45" s="249" t="s">
        <v>26</v>
      </c>
      <c r="L45" s="249" t="s">
        <v>618</v>
      </c>
      <c r="M45" s="249" t="s">
        <v>619</v>
      </c>
      <c r="N45" s="249" t="s">
        <v>26</v>
      </c>
      <c r="O45" s="249" t="s">
        <v>620</v>
      </c>
      <c r="P45" s="144" t="s">
        <v>785</v>
      </c>
      <c r="Q45" s="249"/>
    </row>
    <row r="46" spans="1:17" ht="27.6" x14ac:dyDescent="0.3">
      <c r="A46" s="561" t="s">
        <v>788</v>
      </c>
      <c r="B46" s="89" t="s">
        <v>616</v>
      </c>
      <c r="C46" s="51" t="s">
        <v>26</v>
      </c>
      <c r="D46" s="51" t="s">
        <v>26</v>
      </c>
      <c r="E46" s="235" t="s">
        <v>26</v>
      </c>
      <c r="F46" s="235" t="s">
        <v>26</v>
      </c>
      <c r="G46" s="50" t="s">
        <v>26</v>
      </c>
      <c r="H46" s="525" t="s">
        <v>789</v>
      </c>
      <c r="I46" s="235" t="s">
        <v>26</v>
      </c>
      <c r="J46" s="235" t="s">
        <v>26</v>
      </c>
      <c r="K46" s="235" t="s">
        <v>26</v>
      </c>
      <c r="L46" s="235" t="s">
        <v>618</v>
      </c>
      <c r="M46" s="235" t="s">
        <v>619</v>
      </c>
      <c r="N46" s="235" t="s">
        <v>26</v>
      </c>
      <c r="O46" s="250" t="s">
        <v>620</v>
      </c>
      <c r="P46" s="103" t="s">
        <v>621</v>
      </c>
      <c r="Q46" s="327"/>
    </row>
    <row r="47" spans="1:17" ht="27.6" x14ac:dyDescent="0.3">
      <c r="A47" s="561"/>
      <c r="B47" s="89" t="s">
        <v>622</v>
      </c>
      <c r="C47" s="507" t="s">
        <v>26</v>
      </c>
      <c r="D47" s="508"/>
      <c r="E47" s="507" t="s">
        <v>26</v>
      </c>
      <c r="F47" s="508"/>
      <c r="G47" s="50" t="s">
        <v>26</v>
      </c>
      <c r="H47" s="526"/>
      <c r="I47" s="235" t="s">
        <v>26</v>
      </c>
      <c r="J47" s="235" t="s">
        <v>26</v>
      </c>
      <c r="K47" s="235" t="s">
        <v>26</v>
      </c>
      <c r="L47" s="235" t="s">
        <v>618</v>
      </c>
      <c r="M47" s="235" t="s">
        <v>619</v>
      </c>
      <c r="N47" s="235" t="s">
        <v>26</v>
      </c>
      <c r="O47" s="250" t="s">
        <v>620</v>
      </c>
      <c r="P47" s="103" t="s">
        <v>621</v>
      </c>
      <c r="Q47" s="327"/>
    </row>
    <row r="48" spans="1:17" ht="27.6" x14ac:dyDescent="0.3">
      <c r="A48" s="561"/>
      <c r="B48" s="89">
        <v>2020</v>
      </c>
      <c r="C48" s="51">
        <f>7200*0.8</f>
        <v>5760</v>
      </c>
      <c r="D48" s="51">
        <f>7200*1.2</f>
        <v>8640</v>
      </c>
      <c r="E48" s="235" t="s">
        <v>26</v>
      </c>
      <c r="F48" s="235" t="s">
        <v>26</v>
      </c>
      <c r="G48" s="50">
        <f t="shared" ref="G48:G51" si="3">((C48+D48)/2)/17277</f>
        <v>0.41673901719048445</v>
      </c>
      <c r="H48" s="526"/>
      <c r="I48" s="509" t="s">
        <v>790</v>
      </c>
      <c r="J48" s="510"/>
      <c r="K48" s="235" t="s">
        <v>26</v>
      </c>
      <c r="L48" s="235" t="s">
        <v>618</v>
      </c>
      <c r="M48" s="235" t="s">
        <v>619</v>
      </c>
      <c r="N48" s="235" t="s">
        <v>26</v>
      </c>
      <c r="O48" s="250" t="s">
        <v>620</v>
      </c>
      <c r="P48" s="103" t="s">
        <v>621</v>
      </c>
      <c r="Q48" s="327"/>
    </row>
    <row r="49" spans="1:17" ht="27.6" x14ac:dyDescent="0.3">
      <c r="A49" s="561"/>
      <c r="B49" s="89">
        <v>2021</v>
      </c>
      <c r="C49" s="51">
        <f>14400*0.8</f>
        <v>11520</v>
      </c>
      <c r="D49" s="51">
        <f>14400*1.2</f>
        <v>17280</v>
      </c>
      <c r="E49" s="235" t="s">
        <v>26</v>
      </c>
      <c r="F49" s="235" t="s">
        <v>26</v>
      </c>
      <c r="G49" s="50">
        <f t="shared" si="3"/>
        <v>0.8334780343809689</v>
      </c>
      <c r="H49" s="526"/>
      <c r="I49" s="511"/>
      <c r="J49" s="512"/>
      <c r="K49" s="235" t="s">
        <v>26</v>
      </c>
      <c r="L49" s="235" t="s">
        <v>618</v>
      </c>
      <c r="M49" s="235" t="s">
        <v>619</v>
      </c>
      <c r="N49" s="235" t="s">
        <v>26</v>
      </c>
      <c r="O49" s="250" t="s">
        <v>620</v>
      </c>
      <c r="P49" s="103" t="s">
        <v>621</v>
      </c>
      <c r="Q49" s="327"/>
    </row>
    <row r="50" spans="1:17" ht="27.6" x14ac:dyDescent="0.3">
      <c r="A50" s="561"/>
      <c r="B50" s="89">
        <v>2022</v>
      </c>
      <c r="C50" s="51">
        <v>0</v>
      </c>
      <c r="D50" s="51">
        <v>0</v>
      </c>
      <c r="E50" s="235" t="s">
        <v>26</v>
      </c>
      <c r="F50" s="235" t="s">
        <v>26</v>
      </c>
      <c r="G50" s="50">
        <f t="shared" si="3"/>
        <v>0</v>
      </c>
      <c r="H50" s="526"/>
      <c r="I50" s="511"/>
      <c r="J50" s="512"/>
      <c r="K50" s="235" t="s">
        <v>26</v>
      </c>
      <c r="L50" s="235" t="s">
        <v>618</v>
      </c>
      <c r="M50" s="235" t="s">
        <v>619</v>
      </c>
      <c r="N50" s="235" t="s">
        <v>26</v>
      </c>
      <c r="O50" s="250" t="s">
        <v>620</v>
      </c>
      <c r="P50" s="103" t="s">
        <v>621</v>
      </c>
      <c r="Q50" s="327"/>
    </row>
    <row r="51" spans="1:17" ht="27.6" x14ac:dyDescent="0.3">
      <c r="A51" s="561"/>
      <c r="B51" s="104" t="s">
        <v>623</v>
      </c>
      <c r="C51" s="51">
        <f>SUM(C48:C50)</f>
        <v>17280</v>
      </c>
      <c r="D51" s="51">
        <f>SUM(D48:D50)</f>
        <v>25920</v>
      </c>
      <c r="E51" s="235" t="s">
        <v>26</v>
      </c>
      <c r="F51" s="235" t="s">
        <v>26</v>
      </c>
      <c r="G51" s="50">
        <f t="shared" si="3"/>
        <v>1.2502170515714535</v>
      </c>
      <c r="H51" s="527"/>
      <c r="I51" s="513"/>
      <c r="J51" s="514"/>
      <c r="K51" s="235" t="s">
        <v>26</v>
      </c>
      <c r="L51" s="235" t="s">
        <v>618</v>
      </c>
      <c r="M51" s="235" t="s">
        <v>619</v>
      </c>
      <c r="N51" s="235" t="s">
        <v>26</v>
      </c>
      <c r="O51" s="250" t="s">
        <v>620</v>
      </c>
      <c r="P51" s="103" t="s">
        <v>621</v>
      </c>
      <c r="Q51" s="327"/>
    </row>
    <row r="52" spans="1:17" ht="27.6" x14ac:dyDescent="0.3">
      <c r="A52" s="561" t="s">
        <v>791</v>
      </c>
      <c r="B52" s="89" t="s">
        <v>616</v>
      </c>
      <c r="C52" s="241">
        <v>6000</v>
      </c>
      <c r="D52" s="241">
        <v>9000</v>
      </c>
      <c r="E52" s="234" t="s">
        <v>26</v>
      </c>
      <c r="F52" s="234" t="s">
        <v>26</v>
      </c>
      <c r="G52" s="49">
        <f>((C52+D52)/2)/17277</f>
        <v>0.43410314290675467</v>
      </c>
      <c r="H52" s="515" t="s">
        <v>789</v>
      </c>
      <c r="I52" s="234" t="s">
        <v>26</v>
      </c>
      <c r="J52" s="234" t="s">
        <v>26</v>
      </c>
      <c r="K52" s="234" t="s">
        <v>26</v>
      </c>
      <c r="L52" s="234" t="s">
        <v>618</v>
      </c>
      <c r="M52" s="234" t="s">
        <v>619</v>
      </c>
      <c r="N52" s="234" t="s">
        <v>26</v>
      </c>
      <c r="O52" s="249" t="s">
        <v>620</v>
      </c>
      <c r="P52" s="107" t="s">
        <v>621</v>
      </c>
      <c r="Q52" s="328"/>
    </row>
    <row r="53" spans="1:17" ht="27.6" x14ac:dyDescent="0.3">
      <c r="A53" s="561"/>
      <c r="B53" s="89" t="s">
        <v>622</v>
      </c>
      <c r="C53" s="520">
        <v>3938</v>
      </c>
      <c r="D53" s="521"/>
      <c r="E53" s="522" t="s">
        <v>26</v>
      </c>
      <c r="F53" s="523"/>
      <c r="G53" s="49">
        <f t="shared" ref="G53:G57" si="4">((C53+D53)/2)/17277</f>
        <v>0.11396654511778666</v>
      </c>
      <c r="H53" s="516"/>
      <c r="I53" s="234" t="s">
        <v>26</v>
      </c>
      <c r="J53" s="234" t="s">
        <v>26</v>
      </c>
      <c r="K53" s="234" t="s">
        <v>26</v>
      </c>
      <c r="L53" s="234" t="s">
        <v>618</v>
      </c>
      <c r="M53" s="234" t="s">
        <v>619</v>
      </c>
      <c r="N53" s="234" t="s">
        <v>26</v>
      </c>
      <c r="O53" s="249" t="s">
        <v>620</v>
      </c>
      <c r="P53" s="107" t="s">
        <v>621</v>
      </c>
      <c r="Q53" s="328"/>
    </row>
    <row r="54" spans="1:17" ht="27.6" x14ac:dyDescent="0.3">
      <c r="A54" s="561"/>
      <c r="B54" s="89">
        <v>2020</v>
      </c>
      <c r="C54" s="241">
        <v>7202</v>
      </c>
      <c r="D54" s="241">
        <v>8719</v>
      </c>
      <c r="E54" s="234" t="s">
        <v>26</v>
      </c>
      <c r="F54" s="234" t="s">
        <v>26</v>
      </c>
      <c r="G54" s="49">
        <f t="shared" si="4"/>
        <v>0.46075707588122938</v>
      </c>
      <c r="H54" s="516"/>
      <c r="I54" s="79">
        <v>0.05</v>
      </c>
      <c r="J54" s="96">
        <v>31.48</v>
      </c>
      <c r="K54" s="234" t="s">
        <v>26</v>
      </c>
      <c r="L54" s="234" t="s">
        <v>618</v>
      </c>
      <c r="M54" s="234" t="s">
        <v>619</v>
      </c>
      <c r="N54" s="234" t="s">
        <v>26</v>
      </c>
      <c r="O54" s="249" t="s">
        <v>620</v>
      </c>
      <c r="P54" s="107" t="s">
        <v>621</v>
      </c>
      <c r="Q54" s="328"/>
    </row>
    <row r="55" spans="1:17" ht="27.6" x14ac:dyDescent="0.3">
      <c r="A55" s="561"/>
      <c r="B55" s="89">
        <v>2021</v>
      </c>
      <c r="C55" s="241">
        <v>7202</v>
      </c>
      <c r="D55" s="241">
        <v>8719</v>
      </c>
      <c r="E55" s="234" t="s">
        <v>26</v>
      </c>
      <c r="F55" s="234" t="s">
        <v>26</v>
      </c>
      <c r="G55" s="49">
        <f t="shared" si="4"/>
        <v>0.46075707588122938</v>
      </c>
      <c r="H55" s="516"/>
      <c r="I55" s="79">
        <v>0.05</v>
      </c>
      <c r="J55" s="96">
        <v>31.48</v>
      </c>
      <c r="K55" s="234" t="s">
        <v>26</v>
      </c>
      <c r="L55" s="234" t="s">
        <v>618</v>
      </c>
      <c r="M55" s="234" t="s">
        <v>619</v>
      </c>
      <c r="N55" s="234" t="s">
        <v>26</v>
      </c>
      <c r="O55" s="249" t="s">
        <v>620</v>
      </c>
      <c r="P55" s="107" t="s">
        <v>621</v>
      </c>
      <c r="Q55" s="328"/>
    </row>
    <row r="56" spans="1:17" ht="27.6" x14ac:dyDescent="0.3">
      <c r="A56" s="561"/>
      <c r="B56" s="89">
        <v>2022</v>
      </c>
      <c r="C56" s="241">
        <v>7202</v>
      </c>
      <c r="D56" s="241">
        <v>8719</v>
      </c>
      <c r="E56" s="234" t="s">
        <v>26</v>
      </c>
      <c r="F56" s="234" t="s">
        <v>26</v>
      </c>
      <c r="G56" s="49">
        <f t="shared" si="4"/>
        <v>0.46075707588122938</v>
      </c>
      <c r="H56" s="516"/>
      <c r="I56" s="79">
        <v>0.05</v>
      </c>
      <c r="J56" s="96">
        <v>31.48</v>
      </c>
      <c r="K56" s="234" t="s">
        <v>26</v>
      </c>
      <c r="L56" s="234" t="s">
        <v>618</v>
      </c>
      <c r="M56" s="234" t="s">
        <v>619</v>
      </c>
      <c r="N56" s="234" t="s">
        <v>26</v>
      </c>
      <c r="O56" s="249" t="s">
        <v>620</v>
      </c>
      <c r="P56" s="107" t="s">
        <v>621</v>
      </c>
      <c r="Q56" s="328"/>
    </row>
    <row r="57" spans="1:17" ht="27.6" x14ac:dyDescent="0.3">
      <c r="A57" s="561"/>
      <c r="B57" s="104" t="s">
        <v>623</v>
      </c>
      <c r="C57" s="241">
        <f>SUM(C54:C56)</f>
        <v>21606</v>
      </c>
      <c r="D57" s="241">
        <f>SUM(D54:D56)</f>
        <v>26157</v>
      </c>
      <c r="E57" s="234" t="s">
        <v>26</v>
      </c>
      <c r="F57" s="234" t="s">
        <v>26</v>
      </c>
      <c r="G57" s="49">
        <f t="shared" si="4"/>
        <v>1.3822712276436881</v>
      </c>
      <c r="H57" s="517"/>
      <c r="I57" s="79">
        <v>0.05</v>
      </c>
      <c r="J57" s="96">
        <v>31.48</v>
      </c>
      <c r="K57" s="234" t="s">
        <v>26</v>
      </c>
      <c r="L57" s="234" t="s">
        <v>618</v>
      </c>
      <c r="M57" s="234" t="s">
        <v>619</v>
      </c>
      <c r="N57" s="234" t="s">
        <v>26</v>
      </c>
      <c r="O57" s="249" t="s">
        <v>620</v>
      </c>
      <c r="P57" s="107" t="s">
        <v>621</v>
      </c>
      <c r="Q57" s="328"/>
    </row>
    <row r="58" spans="1:17" ht="27.6" x14ac:dyDescent="0.3">
      <c r="A58" s="561" t="s">
        <v>792</v>
      </c>
      <c r="B58" s="89" t="s">
        <v>616</v>
      </c>
      <c r="C58" s="235" t="s">
        <v>641</v>
      </c>
      <c r="D58" s="235" t="s">
        <v>641</v>
      </c>
      <c r="E58" s="235" t="s">
        <v>26</v>
      </c>
      <c r="F58" s="235" t="s">
        <v>26</v>
      </c>
      <c r="G58" s="235" t="s">
        <v>26</v>
      </c>
      <c r="H58" s="525" t="s">
        <v>789</v>
      </c>
      <c r="I58" s="235" t="s">
        <v>26</v>
      </c>
      <c r="J58" s="235" t="s">
        <v>26</v>
      </c>
      <c r="K58" s="235" t="s">
        <v>26</v>
      </c>
      <c r="L58" s="235" t="s">
        <v>618</v>
      </c>
      <c r="M58" s="235" t="s">
        <v>619</v>
      </c>
      <c r="N58" s="235" t="s">
        <v>26</v>
      </c>
      <c r="O58" s="250" t="s">
        <v>620</v>
      </c>
      <c r="P58" s="103" t="s">
        <v>621</v>
      </c>
      <c r="Q58" s="327"/>
    </row>
    <row r="59" spans="1:17" ht="27.6" x14ac:dyDescent="0.3">
      <c r="A59" s="561"/>
      <c r="B59" s="89" t="s">
        <v>622</v>
      </c>
      <c r="C59" s="616" t="s">
        <v>641</v>
      </c>
      <c r="D59" s="508"/>
      <c r="E59" s="235" t="s">
        <v>26</v>
      </c>
      <c r="F59" s="235" t="s">
        <v>26</v>
      </c>
      <c r="G59" s="235" t="s">
        <v>26</v>
      </c>
      <c r="H59" s="526"/>
      <c r="I59" s="235" t="s">
        <v>26</v>
      </c>
      <c r="J59" s="235" t="s">
        <v>26</v>
      </c>
      <c r="K59" s="235" t="s">
        <v>26</v>
      </c>
      <c r="L59" s="235" t="s">
        <v>618</v>
      </c>
      <c r="M59" s="235" t="s">
        <v>619</v>
      </c>
      <c r="N59" s="235" t="s">
        <v>26</v>
      </c>
      <c r="O59" s="250" t="s">
        <v>620</v>
      </c>
      <c r="P59" s="103" t="s">
        <v>621</v>
      </c>
      <c r="Q59" s="327"/>
    </row>
    <row r="60" spans="1:17" ht="27.6" x14ac:dyDescent="0.3">
      <c r="A60" s="561"/>
      <c r="B60" s="89">
        <v>2020</v>
      </c>
      <c r="C60" s="51">
        <f>338*0.8</f>
        <v>270.40000000000003</v>
      </c>
      <c r="D60" s="51">
        <f>338*1.2</f>
        <v>405.59999999999997</v>
      </c>
      <c r="E60" s="235" t="s">
        <v>26</v>
      </c>
      <c r="F60" s="235" t="s">
        <v>26</v>
      </c>
      <c r="G60" s="50">
        <f>((C60+D60)/2)/17277</f>
        <v>1.9563581640331076E-2</v>
      </c>
      <c r="H60" s="526"/>
      <c r="I60" s="81">
        <v>1.14E-3</v>
      </c>
      <c r="J60" s="63">
        <v>22.945184821874161</v>
      </c>
      <c r="K60" s="235" t="s">
        <v>26</v>
      </c>
      <c r="L60" s="235" t="s">
        <v>618</v>
      </c>
      <c r="M60" s="235" t="s">
        <v>619</v>
      </c>
      <c r="N60" s="235" t="s">
        <v>26</v>
      </c>
      <c r="O60" s="250" t="s">
        <v>620</v>
      </c>
      <c r="P60" s="103" t="s">
        <v>621</v>
      </c>
      <c r="Q60" s="327"/>
    </row>
    <row r="61" spans="1:17" ht="27.6" x14ac:dyDescent="0.3">
      <c r="A61" s="561"/>
      <c r="B61" s="89">
        <v>2021</v>
      </c>
      <c r="C61" s="51">
        <f t="shared" ref="C61:C62" si="5">338*0.8</f>
        <v>270.40000000000003</v>
      </c>
      <c r="D61" s="51">
        <f t="shared" ref="D61:D62" si="6">338*1.2</f>
        <v>405.59999999999997</v>
      </c>
      <c r="E61" s="235" t="s">
        <v>26</v>
      </c>
      <c r="F61" s="235" t="s">
        <v>26</v>
      </c>
      <c r="G61" s="50">
        <f t="shared" ref="G61:G63" si="7">((C61+D61)/2)/17277</f>
        <v>1.9563581640331076E-2</v>
      </c>
      <c r="H61" s="526"/>
      <c r="I61" s="81">
        <v>1.14E-3</v>
      </c>
      <c r="J61" s="63">
        <v>22.945184821874161</v>
      </c>
      <c r="K61" s="235" t="s">
        <v>26</v>
      </c>
      <c r="L61" s="235" t="s">
        <v>618</v>
      </c>
      <c r="M61" s="235" t="s">
        <v>619</v>
      </c>
      <c r="N61" s="235" t="s">
        <v>26</v>
      </c>
      <c r="O61" s="250" t="s">
        <v>620</v>
      </c>
      <c r="P61" s="103" t="s">
        <v>621</v>
      </c>
      <c r="Q61" s="327"/>
    </row>
    <row r="62" spans="1:17" ht="27.6" x14ac:dyDescent="0.3">
      <c r="A62" s="561"/>
      <c r="B62" s="89">
        <v>2022</v>
      </c>
      <c r="C62" s="51">
        <f t="shared" si="5"/>
        <v>270.40000000000003</v>
      </c>
      <c r="D62" s="51">
        <f t="shared" si="6"/>
        <v>405.59999999999997</v>
      </c>
      <c r="E62" s="235" t="s">
        <v>26</v>
      </c>
      <c r="F62" s="235" t="s">
        <v>26</v>
      </c>
      <c r="G62" s="50">
        <f t="shared" si="7"/>
        <v>1.9563581640331076E-2</v>
      </c>
      <c r="H62" s="526"/>
      <c r="I62" s="81">
        <v>1.14E-3</v>
      </c>
      <c r="J62" s="63">
        <v>22.945184821874161</v>
      </c>
      <c r="K62" s="235" t="s">
        <v>26</v>
      </c>
      <c r="L62" s="235" t="s">
        <v>618</v>
      </c>
      <c r="M62" s="235" t="s">
        <v>619</v>
      </c>
      <c r="N62" s="235" t="s">
        <v>26</v>
      </c>
      <c r="O62" s="250" t="s">
        <v>620</v>
      </c>
      <c r="P62" s="103" t="s">
        <v>621</v>
      </c>
      <c r="Q62" s="327"/>
    </row>
    <row r="63" spans="1:17" ht="27.6" x14ac:dyDescent="0.3">
      <c r="A63" s="561"/>
      <c r="B63" s="104" t="s">
        <v>623</v>
      </c>
      <c r="C63" s="51">
        <f>SUM(C60:C62)</f>
        <v>811.2</v>
      </c>
      <c r="D63" s="51">
        <f>SUM(D60:D62)</f>
        <v>1216.8</v>
      </c>
      <c r="E63" s="235" t="s">
        <v>26</v>
      </c>
      <c r="F63" s="235" t="s">
        <v>26</v>
      </c>
      <c r="G63" s="50">
        <f t="shared" si="7"/>
        <v>5.8690744920993229E-2</v>
      </c>
      <c r="H63" s="527"/>
      <c r="I63" s="81">
        <v>1.14E-3</v>
      </c>
      <c r="J63" s="63">
        <v>22.945184821874161</v>
      </c>
      <c r="K63" s="235" t="s">
        <v>26</v>
      </c>
      <c r="L63" s="235" t="s">
        <v>618</v>
      </c>
      <c r="M63" s="235" t="s">
        <v>619</v>
      </c>
      <c r="N63" s="235" t="s">
        <v>26</v>
      </c>
      <c r="O63" s="250" t="s">
        <v>620</v>
      </c>
      <c r="P63" s="103" t="s">
        <v>621</v>
      </c>
      <c r="Q63" s="329"/>
    </row>
    <row r="64" spans="1:17" x14ac:dyDescent="0.3">
      <c r="C64" s="114"/>
      <c r="D64" s="114"/>
      <c r="E64" s="114"/>
      <c r="F64" s="114"/>
      <c r="G64" s="114"/>
      <c r="H64" s="114"/>
      <c r="I64" s="114"/>
      <c r="J64" s="114"/>
      <c r="K64" s="114"/>
      <c r="L64" s="114"/>
      <c r="M64" s="143"/>
      <c r="N64" s="114"/>
      <c r="O64" s="142"/>
      <c r="P64" s="114"/>
      <c r="Q64" s="114"/>
    </row>
  </sheetData>
  <mergeCells count="53">
    <mergeCell ref="A52:A57"/>
    <mergeCell ref="H52:H57"/>
    <mergeCell ref="C53:D53"/>
    <mergeCell ref="E53:F53"/>
    <mergeCell ref="A58:A63"/>
    <mergeCell ref="H58:H63"/>
    <mergeCell ref="C59:D59"/>
    <mergeCell ref="A40:A45"/>
    <mergeCell ref="I40:J45"/>
    <mergeCell ref="A46:A51"/>
    <mergeCell ref="H46:H51"/>
    <mergeCell ref="C47:D47"/>
    <mergeCell ref="E47:F47"/>
    <mergeCell ref="I48:J51"/>
    <mergeCell ref="C41:D41"/>
    <mergeCell ref="E41:F41"/>
    <mergeCell ref="Q10:Q15"/>
    <mergeCell ref="C11:D11"/>
    <mergeCell ref="E11:F11"/>
    <mergeCell ref="A16:A21"/>
    <mergeCell ref="H16:H21"/>
    <mergeCell ref="C17:D17"/>
    <mergeCell ref="E17:F17"/>
    <mergeCell ref="E2:F2"/>
    <mergeCell ref="G2:G3"/>
    <mergeCell ref="A34:A39"/>
    <mergeCell ref="I34:J39"/>
    <mergeCell ref="H10:H15"/>
    <mergeCell ref="A22:A27"/>
    <mergeCell ref="C23:D23"/>
    <mergeCell ref="E23:F23"/>
    <mergeCell ref="A28:A33"/>
    <mergeCell ref="I28:J33"/>
    <mergeCell ref="H2:H3"/>
    <mergeCell ref="A10:A15"/>
    <mergeCell ref="C35:D35"/>
    <mergeCell ref="C29:D29"/>
    <mergeCell ref="O2:O3"/>
    <mergeCell ref="P2:P3"/>
    <mergeCell ref="Q2:Q3"/>
    <mergeCell ref="A4:A9"/>
    <mergeCell ref="H4:H9"/>
    <mergeCell ref="C5:D5"/>
    <mergeCell ref="E5:F5"/>
    <mergeCell ref="I2:I3"/>
    <mergeCell ref="J2:J3"/>
    <mergeCell ref="K2:K3"/>
    <mergeCell ref="L2:L3"/>
    <mergeCell ref="M2:M3"/>
    <mergeCell ref="N2:N3"/>
    <mergeCell ref="A2:A3"/>
    <mergeCell ref="B2:B3"/>
    <mergeCell ref="C2:D2"/>
  </mergeCells>
  <printOptions horizontalCentered="1"/>
  <pageMargins left="0.5" right="0.5" top="1" bottom="0.75" header="0" footer="0.5"/>
  <pageSetup paperSize="5" scale="88" orientation="landscape" horizontalDpi="1200" verticalDpi="1200" r:id="rId1"/>
  <headerFooter>
    <oddFooter>&amp;L&amp;ESDGE 2020 WMP - &amp;A&amp;C&amp;P&amp;R&amp;D</oddFooter>
  </headerFooter>
  <rowBreaks count="4" manualBreakCount="4">
    <brk id="15" max="16383" man="1"/>
    <brk id="27" max="16383" man="1"/>
    <brk id="39" max="16383" man="1"/>
    <brk id="5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E0C1-148B-46E2-B277-49F11F42E167}">
  <dimension ref="A1:Q15"/>
  <sheetViews>
    <sheetView view="pageLayout" topLeftCell="A13" zoomScaleNormal="100" zoomScaleSheetLayoutView="85" workbookViewId="0">
      <selection sqref="A1:Q15"/>
    </sheetView>
  </sheetViews>
  <sheetFormatPr defaultRowHeight="14.4" x14ac:dyDescent="0.3"/>
  <cols>
    <col min="1" max="1" width="15" customWidth="1"/>
    <col min="2" max="2" width="14.33203125" style="115" customWidth="1"/>
    <col min="3" max="3" width="6.109375" customWidth="1"/>
    <col min="4" max="4" width="7.33203125" customWidth="1"/>
    <col min="5" max="6" width="6.109375" customWidth="1"/>
    <col min="9" max="11" width="8.33203125" customWidth="1"/>
    <col min="12" max="12" width="8" customWidth="1"/>
    <col min="13" max="13" width="13.5546875" customWidth="1"/>
    <col min="14" max="14" width="8.109375" customWidth="1"/>
    <col min="15" max="15" width="16.5546875" customWidth="1"/>
    <col min="16" max="16" width="13.33203125" customWidth="1"/>
    <col min="17" max="17" width="11.44140625" customWidth="1"/>
  </cols>
  <sheetData>
    <row r="1" spans="1:17" ht="18" x14ac:dyDescent="0.35">
      <c r="A1" s="322" t="s">
        <v>793</v>
      </c>
      <c r="B1" s="324"/>
      <c r="C1" s="323"/>
      <c r="D1" s="323"/>
      <c r="E1" s="323"/>
      <c r="F1" s="323"/>
      <c r="G1" s="323"/>
      <c r="H1" s="323"/>
      <c r="I1" s="323"/>
      <c r="J1" s="323"/>
      <c r="K1" s="323"/>
      <c r="L1" s="323"/>
      <c r="M1" s="323"/>
      <c r="N1" s="323"/>
      <c r="O1" s="323"/>
      <c r="P1" s="323"/>
      <c r="Q1" s="326"/>
    </row>
    <row r="2" spans="1:17" ht="71.400000000000006" customHeight="1" x14ac:dyDescent="0.3">
      <c r="A2" s="617" t="s">
        <v>600</v>
      </c>
      <c r="B2" s="617" t="s">
        <v>291</v>
      </c>
      <c r="C2" s="617" t="s">
        <v>601</v>
      </c>
      <c r="D2" s="617"/>
      <c r="E2" s="617" t="s">
        <v>602</v>
      </c>
      <c r="F2" s="617"/>
      <c r="G2" s="617" t="s">
        <v>603</v>
      </c>
      <c r="H2" s="617" t="s">
        <v>604</v>
      </c>
      <c r="I2" s="617" t="s">
        <v>605</v>
      </c>
      <c r="J2" s="617" t="s">
        <v>606</v>
      </c>
      <c r="K2" s="617" t="s">
        <v>607</v>
      </c>
      <c r="L2" s="617" t="s">
        <v>608</v>
      </c>
      <c r="M2" s="617" t="s">
        <v>609</v>
      </c>
      <c r="N2" s="617" t="s">
        <v>610</v>
      </c>
      <c r="O2" s="617" t="s">
        <v>611</v>
      </c>
      <c r="P2" s="617" t="s">
        <v>612</v>
      </c>
      <c r="Q2" s="617" t="s">
        <v>33</v>
      </c>
    </row>
    <row r="3" spans="1:17" ht="23.25" customHeight="1" x14ac:dyDescent="0.3">
      <c r="A3" s="617"/>
      <c r="B3" s="617"/>
      <c r="C3" s="97" t="s">
        <v>613</v>
      </c>
      <c r="D3" s="97" t="s">
        <v>614</v>
      </c>
      <c r="E3" s="97" t="s">
        <v>613</v>
      </c>
      <c r="F3" s="97" t="s">
        <v>614</v>
      </c>
      <c r="G3" s="617"/>
      <c r="H3" s="617"/>
      <c r="I3" s="617"/>
      <c r="J3" s="617"/>
      <c r="K3" s="617"/>
      <c r="L3" s="617"/>
      <c r="M3" s="617"/>
      <c r="N3" s="617"/>
      <c r="O3" s="617"/>
      <c r="P3" s="617"/>
      <c r="Q3" s="617"/>
    </row>
    <row r="4" spans="1:17" ht="24" customHeight="1" x14ac:dyDescent="0.3">
      <c r="A4" s="618" t="s">
        <v>794</v>
      </c>
      <c r="B4" s="249" t="s">
        <v>616</v>
      </c>
      <c r="C4" s="234" t="s">
        <v>641</v>
      </c>
      <c r="D4" s="234" t="s">
        <v>641</v>
      </c>
      <c r="E4" s="234" t="s">
        <v>26</v>
      </c>
      <c r="F4" s="234" t="s">
        <v>26</v>
      </c>
      <c r="G4" s="234" t="s">
        <v>26</v>
      </c>
      <c r="H4" s="234" t="s">
        <v>26</v>
      </c>
      <c r="I4" s="234" t="s">
        <v>26</v>
      </c>
      <c r="J4" s="234" t="s">
        <v>26</v>
      </c>
      <c r="K4" s="234" t="s">
        <v>26</v>
      </c>
      <c r="L4" s="234" t="s">
        <v>618</v>
      </c>
      <c r="M4" s="234" t="s">
        <v>619</v>
      </c>
      <c r="N4" s="234" t="s">
        <v>26</v>
      </c>
      <c r="O4" s="249" t="s">
        <v>620</v>
      </c>
      <c r="P4" s="109" t="s">
        <v>621</v>
      </c>
      <c r="Q4" s="147"/>
    </row>
    <row r="5" spans="1:17" ht="24" customHeight="1" x14ac:dyDescent="0.3">
      <c r="A5" s="618"/>
      <c r="B5" s="249" t="s">
        <v>622</v>
      </c>
      <c r="C5" s="522" t="s">
        <v>641</v>
      </c>
      <c r="D5" s="523"/>
      <c r="E5" s="522" t="s">
        <v>26</v>
      </c>
      <c r="F5" s="523"/>
      <c r="G5" s="234" t="s">
        <v>26</v>
      </c>
      <c r="H5" s="234" t="s">
        <v>26</v>
      </c>
      <c r="I5" s="234" t="s">
        <v>26</v>
      </c>
      <c r="J5" s="234" t="s">
        <v>26</v>
      </c>
      <c r="K5" s="234" t="s">
        <v>26</v>
      </c>
      <c r="L5" s="234" t="s">
        <v>618</v>
      </c>
      <c r="M5" s="234" t="s">
        <v>619</v>
      </c>
      <c r="N5" s="234" t="s">
        <v>26</v>
      </c>
      <c r="O5" s="249" t="s">
        <v>620</v>
      </c>
      <c r="P5" s="109" t="s">
        <v>621</v>
      </c>
      <c r="Q5" s="147"/>
    </row>
    <row r="6" spans="1:17" ht="24" customHeight="1" x14ac:dyDescent="0.3">
      <c r="A6" s="618"/>
      <c r="B6" s="249">
        <v>2020</v>
      </c>
      <c r="C6" s="234" t="s">
        <v>641</v>
      </c>
      <c r="D6" s="234" t="s">
        <v>641</v>
      </c>
      <c r="E6" s="234" t="s">
        <v>26</v>
      </c>
      <c r="F6" s="234" t="s">
        <v>26</v>
      </c>
      <c r="G6" s="234" t="s">
        <v>26</v>
      </c>
      <c r="H6" s="234" t="s">
        <v>26</v>
      </c>
      <c r="I6" s="234" t="s">
        <v>26</v>
      </c>
      <c r="J6" s="234" t="s">
        <v>26</v>
      </c>
      <c r="K6" s="234" t="s">
        <v>26</v>
      </c>
      <c r="L6" s="234" t="s">
        <v>618</v>
      </c>
      <c r="M6" s="234" t="s">
        <v>619</v>
      </c>
      <c r="N6" s="234" t="s">
        <v>26</v>
      </c>
      <c r="O6" s="249" t="s">
        <v>620</v>
      </c>
      <c r="P6" s="109" t="s">
        <v>621</v>
      </c>
      <c r="Q6" s="147"/>
    </row>
    <row r="7" spans="1:17" ht="24" customHeight="1" x14ac:dyDescent="0.3">
      <c r="A7" s="618"/>
      <c r="B7" s="249">
        <v>2021</v>
      </c>
      <c r="C7" s="234" t="s">
        <v>641</v>
      </c>
      <c r="D7" s="234" t="s">
        <v>641</v>
      </c>
      <c r="E7" s="234" t="s">
        <v>26</v>
      </c>
      <c r="F7" s="234" t="s">
        <v>26</v>
      </c>
      <c r="G7" s="234" t="s">
        <v>26</v>
      </c>
      <c r="H7" s="234" t="s">
        <v>26</v>
      </c>
      <c r="I7" s="234" t="s">
        <v>26</v>
      </c>
      <c r="J7" s="234" t="s">
        <v>26</v>
      </c>
      <c r="K7" s="234" t="s">
        <v>26</v>
      </c>
      <c r="L7" s="234" t="s">
        <v>618</v>
      </c>
      <c r="M7" s="234" t="s">
        <v>619</v>
      </c>
      <c r="N7" s="234" t="s">
        <v>26</v>
      </c>
      <c r="O7" s="249" t="s">
        <v>620</v>
      </c>
      <c r="P7" s="109" t="s">
        <v>621</v>
      </c>
      <c r="Q7" s="147"/>
    </row>
    <row r="8" spans="1:17" ht="24" customHeight="1" x14ac:dyDescent="0.3">
      <c r="A8" s="618"/>
      <c r="B8" s="249">
        <v>2022</v>
      </c>
      <c r="C8" s="234" t="s">
        <v>641</v>
      </c>
      <c r="D8" s="234" t="s">
        <v>641</v>
      </c>
      <c r="E8" s="234" t="s">
        <v>26</v>
      </c>
      <c r="F8" s="234" t="s">
        <v>26</v>
      </c>
      <c r="G8" s="234" t="s">
        <v>26</v>
      </c>
      <c r="H8" s="234" t="s">
        <v>26</v>
      </c>
      <c r="I8" s="234" t="s">
        <v>26</v>
      </c>
      <c r="J8" s="234" t="s">
        <v>26</v>
      </c>
      <c r="K8" s="234" t="s">
        <v>26</v>
      </c>
      <c r="L8" s="234" t="s">
        <v>618</v>
      </c>
      <c r="M8" s="234" t="s">
        <v>619</v>
      </c>
      <c r="N8" s="234" t="s">
        <v>26</v>
      </c>
      <c r="O8" s="249" t="s">
        <v>620</v>
      </c>
      <c r="P8" s="109" t="s">
        <v>621</v>
      </c>
      <c r="Q8" s="147"/>
    </row>
    <row r="9" spans="1:17" ht="24" customHeight="1" x14ac:dyDescent="0.3">
      <c r="A9" s="618"/>
      <c r="B9" s="249" t="s">
        <v>623</v>
      </c>
      <c r="C9" s="234" t="s">
        <v>641</v>
      </c>
      <c r="D9" s="234" t="s">
        <v>641</v>
      </c>
      <c r="E9" s="234" t="s">
        <v>26</v>
      </c>
      <c r="F9" s="234" t="s">
        <v>26</v>
      </c>
      <c r="G9" s="234" t="s">
        <v>26</v>
      </c>
      <c r="H9" s="234" t="s">
        <v>26</v>
      </c>
      <c r="I9" s="234" t="s">
        <v>26</v>
      </c>
      <c r="J9" s="234" t="s">
        <v>26</v>
      </c>
      <c r="K9" s="234" t="s">
        <v>26</v>
      </c>
      <c r="L9" s="234" t="s">
        <v>618</v>
      </c>
      <c r="M9" s="234" t="s">
        <v>619</v>
      </c>
      <c r="N9" s="234" t="s">
        <v>26</v>
      </c>
      <c r="O9" s="249" t="s">
        <v>620</v>
      </c>
      <c r="P9" s="109" t="s">
        <v>621</v>
      </c>
      <c r="Q9" s="147"/>
    </row>
    <row r="10" spans="1:17" ht="24" customHeight="1" x14ac:dyDescent="0.3">
      <c r="A10" s="618" t="s">
        <v>795</v>
      </c>
      <c r="B10" s="250" t="s">
        <v>616</v>
      </c>
      <c r="C10" s="235" t="s">
        <v>641</v>
      </c>
      <c r="D10" s="235" t="s">
        <v>641</v>
      </c>
      <c r="E10" s="235" t="s">
        <v>26</v>
      </c>
      <c r="F10" s="235" t="s">
        <v>26</v>
      </c>
      <c r="G10" s="235" t="s">
        <v>26</v>
      </c>
      <c r="H10" s="235" t="s">
        <v>26</v>
      </c>
      <c r="I10" s="509" t="s">
        <v>796</v>
      </c>
      <c r="J10" s="510"/>
      <c r="K10" s="235" t="s">
        <v>26</v>
      </c>
      <c r="L10" s="235" t="s">
        <v>618</v>
      </c>
      <c r="M10" s="235" t="s">
        <v>619</v>
      </c>
      <c r="N10" s="235" t="s">
        <v>26</v>
      </c>
      <c r="O10" s="250" t="s">
        <v>620</v>
      </c>
      <c r="P10" s="110" t="s">
        <v>621</v>
      </c>
      <c r="Q10" s="110"/>
    </row>
    <row r="11" spans="1:17" ht="24" customHeight="1" x14ac:dyDescent="0.3">
      <c r="A11" s="618"/>
      <c r="B11" s="250" t="s">
        <v>622</v>
      </c>
      <c r="C11" s="507" t="s">
        <v>26</v>
      </c>
      <c r="D11" s="508"/>
      <c r="E11" s="507" t="s">
        <v>26</v>
      </c>
      <c r="F11" s="508"/>
      <c r="G11" s="235" t="s">
        <v>26</v>
      </c>
      <c r="H11" s="235" t="s">
        <v>26</v>
      </c>
      <c r="I11" s="511"/>
      <c r="J11" s="512"/>
      <c r="K11" s="235" t="s">
        <v>26</v>
      </c>
      <c r="L11" s="235" t="s">
        <v>618</v>
      </c>
      <c r="M11" s="235" t="s">
        <v>619</v>
      </c>
      <c r="N11" s="235" t="s">
        <v>26</v>
      </c>
      <c r="O11" s="250" t="s">
        <v>620</v>
      </c>
      <c r="P11" s="110" t="s">
        <v>621</v>
      </c>
      <c r="Q11" s="110"/>
    </row>
    <row r="12" spans="1:17" ht="24" customHeight="1" x14ac:dyDescent="0.3">
      <c r="A12" s="618"/>
      <c r="B12" s="250">
        <v>2020</v>
      </c>
      <c r="C12" s="51">
        <v>285</v>
      </c>
      <c r="D12" s="51">
        <v>345</v>
      </c>
      <c r="E12" s="235" t="s">
        <v>26</v>
      </c>
      <c r="F12" s="235" t="s">
        <v>26</v>
      </c>
      <c r="G12" s="50">
        <f>((C12+D12)/2)/17277</f>
        <v>1.8232332002083695E-2</v>
      </c>
      <c r="H12" s="235" t="s">
        <v>26</v>
      </c>
      <c r="I12" s="511"/>
      <c r="J12" s="512"/>
      <c r="K12" s="235" t="s">
        <v>26</v>
      </c>
      <c r="L12" s="235" t="s">
        <v>618</v>
      </c>
      <c r="M12" s="235" t="s">
        <v>619</v>
      </c>
      <c r="N12" s="235" t="s">
        <v>26</v>
      </c>
      <c r="O12" s="250" t="s">
        <v>620</v>
      </c>
      <c r="P12" s="110" t="s">
        <v>621</v>
      </c>
      <c r="Q12" s="110"/>
    </row>
    <row r="13" spans="1:17" ht="24" customHeight="1" x14ac:dyDescent="0.3">
      <c r="A13" s="618"/>
      <c r="B13" s="250">
        <v>2021</v>
      </c>
      <c r="C13" s="51">
        <v>285</v>
      </c>
      <c r="D13" s="51">
        <v>345</v>
      </c>
      <c r="E13" s="235" t="s">
        <v>26</v>
      </c>
      <c r="F13" s="235" t="s">
        <v>26</v>
      </c>
      <c r="G13" s="50">
        <f>((C13+D13)/2)/17277</f>
        <v>1.8232332002083695E-2</v>
      </c>
      <c r="H13" s="235" t="s">
        <v>26</v>
      </c>
      <c r="I13" s="511"/>
      <c r="J13" s="512"/>
      <c r="K13" s="235" t="s">
        <v>26</v>
      </c>
      <c r="L13" s="235" t="s">
        <v>618</v>
      </c>
      <c r="M13" s="235" t="s">
        <v>619</v>
      </c>
      <c r="N13" s="235" t="s">
        <v>26</v>
      </c>
      <c r="O13" s="250" t="s">
        <v>620</v>
      </c>
      <c r="P13" s="110" t="s">
        <v>621</v>
      </c>
      <c r="Q13" s="110"/>
    </row>
    <row r="14" spans="1:17" ht="24" customHeight="1" x14ac:dyDescent="0.3">
      <c r="A14" s="618"/>
      <c r="B14" s="250">
        <v>2022</v>
      </c>
      <c r="C14" s="51">
        <v>258</v>
      </c>
      <c r="D14" s="51">
        <v>345</v>
      </c>
      <c r="E14" s="235" t="s">
        <v>26</v>
      </c>
      <c r="F14" s="235" t="s">
        <v>26</v>
      </c>
      <c r="G14" s="50">
        <f>((C14+D14)/2)/17277</f>
        <v>1.7450946344851538E-2</v>
      </c>
      <c r="H14" s="235" t="s">
        <v>26</v>
      </c>
      <c r="I14" s="511"/>
      <c r="J14" s="512"/>
      <c r="K14" s="235" t="s">
        <v>26</v>
      </c>
      <c r="L14" s="235" t="s">
        <v>618</v>
      </c>
      <c r="M14" s="235" t="s">
        <v>619</v>
      </c>
      <c r="N14" s="235" t="s">
        <v>26</v>
      </c>
      <c r="O14" s="250" t="s">
        <v>620</v>
      </c>
      <c r="P14" s="110" t="s">
        <v>621</v>
      </c>
      <c r="Q14" s="110"/>
    </row>
    <row r="15" spans="1:17" ht="24" customHeight="1" x14ac:dyDescent="0.3">
      <c r="A15" s="618"/>
      <c r="B15" s="250" t="s">
        <v>623</v>
      </c>
      <c r="C15" s="51">
        <f>SUM(C12:C14)</f>
        <v>828</v>
      </c>
      <c r="D15" s="51">
        <f>SUM(D12:D14)</f>
        <v>1035</v>
      </c>
      <c r="E15" s="235" t="s">
        <v>26</v>
      </c>
      <c r="F15" s="235" t="s">
        <v>26</v>
      </c>
      <c r="G15" s="50">
        <f>((C15+D15)/2)/17277</f>
        <v>5.3915610349018928E-2</v>
      </c>
      <c r="H15" s="235" t="s">
        <v>26</v>
      </c>
      <c r="I15" s="513"/>
      <c r="J15" s="514"/>
      <c r="K15" s="235" t="s">
        <v>26</v>
      </c>
      <c r="L15" s="235" t="s">
        <v>618</v>
      </c>
      <c r="M15" s="235" t="s">
        <v>619</v>
      </c>
      <c r="N15" s="235" t="s">
        <v>26</v>
      </c>
      <c r="O15" s="250" t="s">
        <v>620</v>
      </c>
      <c r="P15" s="110" t="s">
        <v>621</v>
      </c>
      <c r="Q15" s="110"/>
    </row>
  </sheetData>
  <mergeCells count="22">
    <mergeCell ref="A10:A15"/>
    <mergeCell ref="C11:D11"/>
    <mergeCell ref="E11:F11"/>
    <mergeCell ref="I10:J15"/>
    <mergeCell ref="O2:O3"/>
    <mergeCell ref="H2:H3"/>
    <mergeCell ref="N2:N3"/>
    <mergeCell ref="A2:A3"/>
    <mergeCell ref="B2:B3"/>
    <mergeCell ref="C2:D2"/>
    <mergeCell ref="E2:F2"/>
    <mergeCell ref="G2:G3"/>
    <mergeCell ref="P2:P3"/>
    <mergeCell ref="A4:A9"/>
    <mergeCell ref="C5:D5"/>
    <mergeCell ref="E5:F5"/>
    <mergeCell ref="Q2:Q3"/>
    <mergeCell ref="I2:I3"/>
    <mergeCell ref="J2:J3"/>
    <mergeCell ref="K2:K3"/>
    <mergeCell ref="L2:L3"/>
    <mergeCell ref="M2:M3"/>
  </mergeCells>
  <printOptions horizontalCentered="1"/>
  <pageMargins left="0.5" right="0.5" top="1" bottom="0.75" header="0" footer="0.5"/>
  <pageSetup paperSize="5" scale="99" orientation="landscape" horizontalDpi="1200" verticalDpi="1200" r:id="rId1"/>
  <headerFooter>
    <oddFooter>&amp;L&amp;ESDGE 2020 WMP - &amp;A&amp;C&amp;P&amp;R&amp;D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5B5D2-DE9A-4808-8736-635CDC644F82}">
  <dimension ref="A1:Q27"/>
  <sheetViews>
    <sheetView view="pageLayout" topLeftCell="A33" zoomScale="70" zoomScaleNormal="100" zoomScalePageLayoutView="70" workbookViewId="0">
      <selection activeCell="AI24" sqref="AI24"/>
    </sheetView>
  </sheetViews>
  <sheetFormatPr defaultRowHeight="14.4" x14ac:dyDescent="0.3"/>
  <cols>
    <col min="1" max="1" width="12.6640625" customWidth="1"/>
    <col min="2" max="2" width="10.44140625" bestFit="1" customWidth="1"/>
    <col min="3" max="3" width="9.109375" customWidth="1"/>
    <col min="4" max="4" width="7.33203125" customWidth="1"/>
    <col min="5" max="5" width="6" customWidth="1"/>
    <col min="6" max="6" width="6.44140625" customWidth="1"/>
    <col min="7" max="7" width="7.6640625" customWidth="1"/>
    <col min="13" max="13" width="12.33203125" bestFit="1" customWidth="1"/>
    <col min="14" max="14" width="7.5546875" customWidth="1"/>
    <col min="15" max="15" width="18" bestFit="1" customWidth="1"/>
    <col min="16" max="17" width="13.6640625" customWidth="1"/>
  </cols>
  <sheetData>
    <row r="1" spans="1:17" ht="18" x14ac:dyDescent="0.35">
      <c r="A1" s="322" t="s">
        <v>797</v>
      </c>
      <c r="B1" s="323"/>
      <c r="C1" s="323"/>
      <c r="D1" s="323"/>
      <c r="E1" s="323"/>
      <c r="F1" s="323"/>
      <c r="G1" s="323"/>
      <c r="H1" s="323"/>
      <c r="I1" s="323"/>
      <c r="J1" s="323"/>
      <c r="K1" s="323"/>
      <c r="L1" s="323"/>
      <c r="M1" s="323"/>
      <c r="N1" s="323"/>
      <c r="O1" s="323"/>
      <c r="P1" s="323"/>
      <c r="Q1" s="326"/>
    </row>
    <row r="2" spans="1:17" ht="56.25" customHeight="1" x14ac:dyDescent="0.3">
      <c r="A2" s="617" t="s">
        <v>600</v>
      </c>
      <c r="B2" s="617" t="s">
        <v>291</v>
      </c>
      <c r="C2" s="617" t="s">
        <v>798</v>
      </c>
      <c r="D2" s="617"/>
      <c r="E2" s="617" t="s">
        <v>602</v>
      </c>
      <c r="F2" s="617"/>
      <c r="G2" s="617" t="s">
        <v>603</v>
      </c>
      <c r="H2" s="617" t="s">
        <v>604</v>
      </c>
      <c r="I2" s="617" t="s">
        <v>605</v>
      </c>
      <c r="J2" s="617" t="s">
        <v>606</v>
      </c>
      <c r="K2" s="617" t="s">
        <v>607</v>
      </c>
      <c r="L2" s="617" t="s">
        <v>608</v>
      </c>
      <c r="M2" s="617" t="s">
        <v>609</v>
      </c>
      <c r="N2" s="617" t="s">
        <v>610</v>
      </c>
      <c r="O2" s="617" t="s">
        <v>611</v>
      </c>
      <c r="P2" s="617" t="s">
        <v>612</v>
      </c>
      <c r="Q2" s="617" t="s">
        <v>33</v>
      </c>
    </row>
    <row r="3" spans="1:17" ht="18" customHeight="1" x14ac:dyDescent="0.3">
      <c r="A3" s="617"/>
      <c r="B3" s="617"/>
      <c r="C3" s="97" t="s">
        <v>613</v>
      </c>
      <c r="D3" s="97" t="s">
        <v>614</v>
      </c>
      <c r="E3" s="97" t="s">
        <v>613</v>
      </c>
      <c r="F3" s="97" t="s">
        <v>614</v>
      </c>
      <c r="G3" s="617"/>
      <c r="H3" s="617"/>
      <c r="I3" s="617"/>
      <c r="J3" s="617"/>
      <c r="K3" s="617"/>
      <c r="L3" s="617"/>
      <c r="M3" s="617"/>
      <c r="N3" s="617"/>
      <c r="O3" s="617"/>
      <c r="P3" s="617"/>
      <c r="Q3" s="617"/>
    </row>
    <row r="4" spans="1:17" ht="24" customHeight="1" x14ac:dyDescent="0.3">
      <c r="A4" s="619" t="s">
        <v>799</v>
      </c>
      <c r="B4" s="234" t="s">
        <v>616</v>
      </c>
      <c r="C4" s="234" t="s">
        <v>26</v>
      </c>
      <c r="D4" s="234" t="s">
        <v>26</v>
      </c>
      <c r="E4" s="234" t="s">
        <v>26</v>
      </c>
      <c r="F4" s="234" t="s">
        <v>26</v>
      </c>
      <c r="G4" s="234" t="s">
        <v>26</v>
      </c>
      <c r="H4" s="234" t="s">
        <v>26</v>
      </c>
      <c r="I4" s="509" t="s">
        <v>796</v>
      </c>
      <c r="J4" s="510"/>
      <c r="K4" s="234" t="s">
        <v>26</v>
      </c>
      <c r="L4" s="234" t="s">
        <v>618</v>
      </c>
      <c r="M4" s="234" t="s">
        <v>619</v>
      </c>
      <c r="N4" s="234" t="s">
        <v>26</v>
      </c>
      <c r="O4" s="249" t="s">
        <v>620</v>
      </c>
      <c r="P4" s="109" t="s">
        <v>621</v>
      </c>
      <c r="Q4" s="48"/>
    </row>
    <row r="5" spans="1:17" ht="24" customHeight="1" x14ac:dyDescent="0.3">
      <c r="A5" s="619"/>
      <c r="B5" s="234" t="s">
        <v>622</v>
      </c>
      <c r="C5" s="522" t="s">
        <v>26</v>
      </c>
      <c r="D5" s="523"/>
      <c r="E5" s="234" t="s">
        <v>26</v>
      </c>
      <c r="F5" s="234" t="s">
        <v>26</v>
      </c>
      <c r="G5" s="234" t="s">
        <v>26</v>
      </c>
      <c r="H5" s="234" t="s">
        <v>26</v>
      </c>
      <c r="I5" s="511"/>
      <c r="J5" s="512"/>
      <c r="K5" s="234" t="s">
        <v>26</v>
      </c>
      <c r="L5" s="234" t="s">
        <v>618</v>
      </c>
      <c r="M5" s="234" t="s">
        <v>619</v>
      </c>
      <c r="N5" s="234" t="s">
        <v>26</v>
      </c>
      <c r="O5" s="249" t="s">
        <v>620</v>
      </c>
      <c r="P5" s="109" t="s">
        <v>621</v>
      </c>
      <c r="Q5" s="48"/>
    </row>
    <row r="6" spans="1:17" ht="24" customHeight="1" x14ac:dyDescent="0.3">
      <c r="A6" s="619"/>
      <c r="B6" s="234">
        <v>2020</v>
      </c>
      <c r="C6" s="241">
        <v>8774</v>
      </c>
      <c r="D6" s="241">
        <v>10621</v>
      </c>
      <c r="E6" s="234" t="s">
        <v>26</v>
      </c>
      <c r="F6" s="234" t="s">
        <v>26</v>
      </c>
      <c r="G6" s="49">
        <f t="shared" ref="G6:G15" si="0">((C6+D6)/2)/17277</f>
        <v>0.56129536377843381</v>
      </c>
      <c r="H6" s="234" t="s">
        <v>26</v>
      </c>
      <c r="I6" s="511"/>
      <c r="J6" s="512"/>
      <c r="K6" s="234" t="s">
        <v>26</v>
      </c>
      <c r="L6" s="234" t="s">
        <v>618</v>
      </c>
      <c r="M6" s="234" t="s">
        <v>619</v>
      </c>
      <c r="N6" s="234" t="s">
        <v>26</v>
      </c>
      <c r="O6" s="249" t="s">
        <v>620</v>
      </c>
      <c r="P6" s="109" t="s">
        <v>621</v>
      </c>
      <c r="Q6" s="48"/>
    </row>
    <row r="7" spans="1:17" ht="24" customHeight="1" x14ac:dyDescent="0.3">
      <c r="A7" s="619"/>
      <c r="B7" s="234">
        <v>2021</v>
      </c>
      <c r="C7" s="241">
        <v>2500</v>
      </c>
      <c r="D7" s="241">
        <v>5000</v>
      </c>
      <c r="E7" s="234" t="s">
        <v>26</v>
      </c>
      <c r="F7" s="234" t="s">
        <v>26</v>
      </c>
      <c r="G7" s="49">
        <f t="shared" si="0"/>
        <v>0.21705157145337733</v>
      </c>
      <c r="H7" s="234" t="s">
        <v>26</v>
      </c>
      <c r="I7" s="511"/>
      <c r="J7" s="512"/>
      <c r="K7" s="234" t="s">
        <v>26</v>
      </c>
      <c r="L7" s="234" t="s">
        <v>618</v>
      </c>
      <c r="M7" s="234" t="s">
        <v>619</v>
      </c>
      <c r="N7" s="234" t="s">
        <v>26</v>
      </c>
      <c r="O7" s="249" t="s">
        <v>620</v>
      </c>
      <c r="P7" s="109" t="s">
        <v>621</v>
      </c>
      <c r="Q7" s="48"/>
    </row>
    <row r="8" spans="1:17" ht="24" customHeight="1" x14ac:dyDescent="0.3">
      <c r="A8" s="619"/>
      <c r="B8" s="234">
        <v>2022</v>
      </c>
      <c r="C8" s="241">
        <v>3000</v>
      </c>
      <c r="D8" s="241">
        <v>7500</v>
      </c>
      <c r="E8" s="234" t="s">
        <v>26</v>
      </c>
      <c r="F8" s="234" t="s">
        <v>26</v>
      </c>
      <c r="G8" s="49">
        <f t="shared" si="0"/>
        <v>0.30387220003472826</v>
      </c>
      <c r="H8" s="234" t="s">
        <v>26</v>
      </c>
      <c r="I8" s="511"/>
      <c r="J8" s="512"/>
      <c r="K8" s="234" t="s">
        <v>26</v>
      </c>
      <c r="L8" s="234" t="s">
        <v>618</v>
      </c>
      <c r="M8" s="234" t="s">
        <v>619</v>
      </c>
      <c r="N8" s="234" t="s">
        <v>26</v>
      </c>
      <c r="O8" s="249" t="s">
        <v>620</v>
      </c>
      <c r="P8" s="109" t="s">
        <v>621</v>
      </c>
      <c r="Q8" s="48"/>
    </row>
    <row r="9" spans="1:17" ht="24" customHeight="1" x14ac:dyDescent="0.3">
      <c r="A9" s="619"/>
      <c r="B9" s="249" t="s">
        <v>623</v>
      </c>
      <c r="C9" s="241">
        <f>SUM(C6:C8)</f>
        <v>14274</v>
      </c>
      <c r="D9" s="241">
        <f>SUM(D6:D8)</f>
        <v>23121</v>
      </c>
      <c r="E9" s="234" t="s">
        <v>26</v>
      </c>
      <c r="F9" s="234" t="s">
        <v>26</v>
      </c>
      <c r="G9" s="49">
        <f t="shared" si="0"/>
        <v>1.0822191352665393</v>
      </c>
      <c r="H9" s="234" t="s">
        <v>26</v>
      </c>
      <c r="I9" s="513"/>
      <c r="J9" s="514"/>
      <c r="K9" s="234" t="s">
        <v>26</v>
      </c>
      <c r="L9" s="234" t="s">
        <v>618</v>
      </c>
      <c r="M9" s="234" t="s">
        <v>619</v>
      </c>
      <c r="N9" s="234" t="s">
        <v>26</v>
      </c>
      <c r="O9" s="249" t="s">
        <v>620</v>
      </c>
      <c r="P9" s="109" t="s">
        <v>621</v>
      </c>
      <c r="Q9" s="48"/>
    </row>
    <row r="10" spans="1:17" ht="24" customHeight="1" x14ac:dyDescent="0.3">
      <c r="A10" s="619" t="s">
        <v>800</v>
      </c>
      <c r="B10" s="235" t="s">
        <v>616</v>
      </c>
      <c r="C10" s="51">
        <v>1200</v>
      </c>
      <c r="D10" s="51">
        <v>1800</v>
      </c>
      <c r="E10" s="235" t="s">
        <v>26</v>
      </c>
      <c r="F10" s="235" t="s">
        <v>26</v>
      </c>
      <c r="G10" s="50">
        <f t="shared" si="0"/>
        <v>8.6820628581350923E-2</v>
      </c>
      <c r="H10" s="235" t="s">
        <v>26</v>
      </c>
      <c r="I10" s="509" t="s">
        <v>796</v>
      </c>
      <c r="J10" s="510"/>
      <c r="K10" s="235" t="s">
        <v>26</v>
      </c>
      <c r="L10" s="235" t="s">
        <v>618</v>
      </c>
      <c r="M10" s="235" t="s">
        <v>619</v>
      </c>
      <c r="N10" s="235" t="s">
        <v>26</v>
      </c>
      <c r="O10" s="250" t="s">
        <v>620</v>
      </c>
      <c r="P10" s="110" t="s">
        <v>621</v>
      </c>
      <c r="Q10" s="47"/>
    </row>
    <row r="11" spans="1:17" ht="24" customHeight="1" x14ac:dyDescent="0.3">
      <c r="A11" s="619"/>
      <c r="B11" s="235" t="s">
        <v>622</v>
      </c>
      <c r="C11" s="505">
        <v>107</v>
      </c>
      <c r="D11" s="506"/>
      <c r="E11" s="507" t="s">
        <v>26</v>
      </c>
      <c r="F11" s="508"/>
      <c r="G11" s="50">
        <f t="shared" si="0"/>
        <v>3.0966024194015165E-3</v>
      </c>
      <c r="H11" s="235" t="s">
        <v>26</v>
      </c>
      <c r="I11" s="511"/>
      <c r="J11" s="512"/>
      <c r="K11" s="235" t="s">
        <v>26</v>
      </c>
      <c r="L11" s="235" t="s">
        <v>618</v>
      </c>
      <c r="M11" s="235" t="s">
        <v>619</v>
      </c>
      <c r="N11" s="235" t="s">
        <v>26</v>
      </c>
      <c r="O11" s="250" t="s">
        <v>620</v>
      </c>
      <c r="P11" s="110" t="s">
        <v>621</v>
      </c>
      <c r="Q11" s="47"/>
    </row>
    <row r="12" spans="1:17" ht="24" customHeight="1" x14ac:dyDescent="0.3">
      <c r="A12" s="619"/>
      <c r="B12" s="235">
        <v>2020</v>
      </c>
      <c r="C12" s="51">
        <v>400</v>
      </c>
      <c r="D12" s="51">
        <v>500</v>
      </c>
      <c r="E12" s="235" t="s">
        <v>26</v>
      </c>
      <c r="F12" s="235" t="s">
        <v>26</v>
      </c>
      <c r="G12" s="50">
        <f t="shared" si="0"/>
        <v>2.6046188574405278E-2</v>
      </c>
      <c r="H12" s="235" t="s">
        <v>26</v>
      </c>
      <c r="I12" s="511"/>
      <c r="J12" s="512"/>
      <c r="K12" s="235" t="s">
        <v>26</v>
      </c>
      <c r="L12" s="235" t="s">
        <v>618</v>
      </c>
      <c r="M12" s="235" t="s">
        <v>619</v>
      </c>
      <c r="N12" s="235" t="s">
        <v>26</v>
      </c>
      <c r="O12" s="250" t="s">
        <v>620</v>
      </c>
      <c r="P12" s="110" t="s">
        <v>621</v>
      </c>
      <c r="Q12" s="47"/>
    </row>
    <row r="13" spans="1:17" ht="24" customHeight="1" x14ac:dyDescent="0.3">
      <c r="A13" s="619"/>
      <c r="B13" s="235">
        <v>2021</v>
      </c>
      <c r="C13" s="51">
        <v>500</v>
      </c>
      <c r="D13" s="51">
        <v>600</v>
      </c>
      <c r="E13" s="235" t="s">
        <v>26</v>
      </c>
      <c r="F13" s="235" t="s">
        <v>26</v>
      </c>
      <c r="G13" s="50">
        <f t="shared" si="0"/>
        <v>3.1834230479828675E-2</v>
      </c>
      <c r="H13" s="235" t="s">
        <v>26</v>
      </c>
      <c r="I13" s="511"/>
      <c r="J13" s="512"/>
      <c r="K13" s="235" t="s">
        <v>26</v>
      </c>
      <c r="L13" s="235" t="s">
        <v>618</v>
      </c>
      <c r="M13" s="235" t="s">
        <v>619</v>
      </c>
      <c r="N13" s="235" t="s">
        <v>26</v>
      </c>
      <c r="O13" s="250" t="s">
        <v>620</v>
      </c>
      <c r="P13" s="110" t="s">
        <v>621</v>
      </c>
      <c r="Q13" s="47"/>
    </row>
    <row r="14" spans="1:17" ht="24" customHeight="1" x14ac:dyDescent="0.3">
      <c r="A14" s="619"/>
      <c r="B14" s="235">
        <v>2022</v>
      </c>
      <c r="C14" s="51">
        <v>500</v>
      </c>
      <c r="D14" s="51">
        <v>600</v>
      </c>
      <c r="E14" s="235" t="s">
        <v>26</v>
      </c>
      <c r="F14" s="235" t="s">
        <v>26</v>
      </c>
      <c r="G14" s="50">
        <f t="shared" si="0"/>
        <v>3.1834230479828675E-2</v>
      </c>
      <c r="H14" s="235" t="s">
        <v>26</v>
      </c>
      <c r="I14" s="511"/>
      <c r="J14" s="512"/>
      <c r="K14" s="235" t="s">
        <v>26</v>
      </c>
      <c r="L14" s="235" t="s">
        <v>618</v>
      </c>
      <c r="M14" s="235" t="s">
        <v>619</v>
      </c>
      <c r="N14" s="235" t="s">
        <v>26</v>
      </c>
      <c r="O14" s="250" t="s">
        <v>620</v>
      </c>
      <c r="P14" s="110" t="s">
        <v>621</v>
      </c>
      <c r="Q14" s="47"/>
    </row>
    <row r="15" spans="1:17" ht="24" customHeight="1" x14ac:dyDescent="0.3">
      <c r="A15" s="619"/>
      <c r="B15" s="250" t="s">
        <v>623</v>
      </c>
      <c r="C15" s="51">
        <f>SUM(C12:C14)</f>
        <v>1400</v>
      </c>
      <c r="D15" s="51">
        <f>SUM(D12:D14)</f>
        <v>1700</v>
      </c>
      <c r="E15" s="235" t="s">
        <v>26</v>
      </c>
      <c r="F15" s="235" t="s">
        <v>26</v>
      </c>
      <c r="G15" s="50">
        <f t="shared" si="0"/>
        <v>8.9714649534062621E-2</v>
      </c>
      <c r="H15" s="235" t="s">
        <v>26</v>
      </c>
      <c r="I15" s="513"/>
      <c r="J15" s="514"/>
      <c r="K15" s="235" t="s">
        <v>26</v>
      </c>
      <c r="L15" s="235" t="s">
        <v>618</v>
      </c>
      <c r="M15" s="235" t="s">
        <v>619</v>
      </c>
      <c r="N15" s="235" t="s">
        <v>26</v>
      </c>
      <c r="O15" s="250" t="s">
        <v>620</v>
      </c>
      <c r="P15" s="110" t="s">
        <v>621</v>
      </c>
      <c r="Q15" s="47"/>
    </row>
    <row r="16" spans="1:17" ht="24" customHeight="1" x14ac:dyDescent="0.3">
      <c r="A16" s="619" t="s">
        <v>801</v>
      </c>
      <c r="B16" s="234" t="s">
        <v>616</v>
      </c>
      <c r="C16" s="234" t="s">
        <v>26</v>
      </c>
      <c r="D16" s="234" t="s">
        <v>26</v>
      </c>
      <c r="E16" s="234" t="s">
        <v>26</v>
      </c>
      <c r="F16" s="234" t="s">
        <v>26</v>
      </c>
      <c r="G16" s="234" t="s">
        <v>26</v>
      </c>
      <c r="H16" s="234" t="s">
        <v>26</v>
      </c>
      <c r="I16" s="509" t="s">
        <v>796</v>
      </c>
      <c r="J16" s="510"/>
      <c r="K16" s="234" t="s">
        <v>26</v>
      </c>
      <c r="L16" s="234" t="s">
        <v>618</v>
      </c>
      <c r="M16" s="234" t="s">
        <v>619</v>
      </c>
      <c r="N16" s="234" t="s">
        <v>26</v>
      </c>
      <c r="O16" s="249" t="s">
        <v>620</v>
      </c>
      <c r="P16" s="109" t="s">
        <v>621</v>
      </c>
      <c r="Q16" s="48"/>
    </row>
    <row r="17" spans="1:17" ht="24" customHeight="1" x14ac:dyDescent="0.3">
      <c r="A17" s="619"/>
      <c r="B17" s="234" t="s">
        <v>622</v>
      </c>
      <c r="C17" s="522" t="s">
        <v>26</v>
      </c>
      <c r="D17" s="523"/>
      <c r="E17" s="522" t="s">
        <v>26</v>
      </c>
      <c r="F17" s="523"/>
      <c r="G17" s="234" t="s">
        <v>26</v>
      </c>
      <c r="H17" s="234" t="s">
        <v>26</v>
      </c>
      <c r="I17" s="511"/>
      <c r="J17" s="512"/>
      <c r="K17" s="234" t="s">
        <v>26</v>
      </c>
      <c r="L17" s="234" t="s">
        <v>618</v>
      </c>
      <c r="M17" s="234" t="s">
        <v>619</v>
      </c>
      <c r="N17" s="234" t="s">
        <v>26</v>
      </c>
      <c r="O17" s="249" t="s">
        <v>620</v>
      </c>
      <c r="P17" s="109" t="s">
        <v>621</v>
      </c>
      <c r="Q17" s="48"/>
    </row>
    <row r="18" spans="1:17" ht="24" customHeight="1" x14ac:dyDescent="0.3">
      <c r="A18" s="619"/>
      <c r="B18" s="234">
        <v>2020</v>
      </c>
      <c r="C18" s="241">
        <v>1663</v>
      </c>
      <c r="D18" s="241">
        <v>2013</v>
      </c>
      <c r="E18" s="234" t="s">
        <v>26</v>
      </c>
      <c r="F18" s="234" t="s">
        <v>26</v>
      </c>
      <c r="G18" s="49">
        <f>((C18+D18)/2)/17277</f>
        <v>0.106384210221682</v>
      </c>
      <c r="H18" s="234" t="s">
        <v>26</v>
      </c>
      <c r="I18" s="511"/>
      <c r="J18" s="512"/>
      <c r="K18" s="234" t="s">
        <v>26</v>
      </c>
      <c r="L18" s="234" t="s">
        <v>618</v>
      </c>
      <c r="M18" s="234" t="s">
        <v>619</v>
      </c>
      <c r="N18" s="234" t="s">
        <v>26</v>
      </c>
      <c r="O18" s="249" t="s">
        <v>620</v>
      </c>
      <c r="P18" s="109" t="s">
        <v>621</v>
      </c>
      <c r="Q18" s="48"/>
    </row>
    <row r="19" spans="1:17" ht="24" customHeight="1" x14ac:dyDescent="0.3">
      <c r="A19" s="619"/>
      <c r="B19" s="234">
        <v>2021</v>
      </c>
      <c r="C19" s="241">
        <v>1663</v>
      </c>
      <c r="D19" s="241">
        <v>2013</v>
      </c>
      <c r="E19" s="234" t="s">
        <v>26</v>
      </c>
      <c r="F19" s="234" t="s">
        <v>26</v>
      </c>
      <c r="G19" s="49">
        <f>((C19+D19)/2)/17277</f>
        <v>0.106384210221682</v>
      </c>
      <c r="H19" s="234" t="s">
        <v>26</v>
      </c>
      <c r="I19" s="511"/>
      <c r="J19" s="512"/>
      <c r="K19" s="234" t="s">
        <v>26</v>
      </c>
      <c r="L19" s="234" t="s">
        <v>618</v>
      </c>
      <c r="M19" s="234" t="s">
        <v>619</v>
      </c>
      <c r="N19" s="234" t="s">
        <v>26</v>
      </c>
      <c r="O19" s="249" t="s">
        <v>620</v>
      </c>
      <c r="P19" s="109" t="s">
        <v>621</v>
      </c>
      <c r="Q19" s="48"/>
    </row>
    <row r="20" spans="1:17" ht="24" customHeight="1" x14ac:dyDescent="0.3">
      <c r="A20" s="619"/>
      <c r="B20" s="234">
        <v>2022</v>
      </c>
      <c r="C20" s="241">
        <v>1663</v>
      </c>
      <c r="D20" s="241">
        <v>2013</v>
      </c>
      <c r="E20" s="234" t="s">
        <v>26</v>
      </c>
      <c r="F20" s="234" t="s">
        <v>26</v>
      </c>
      <c r="G20" s="49">
        <f>((C20+D20)/2)/17277</f>
        <v>0.106384210221682</v>
      </c>
      <c r="H20" s="234" t="s">
        <v>26</v>
      </c>
      <c r="I20" s="511"/>
      <c r="J20" s="512"/>
      <c r="K20" s="234" t="s">
        <v>26</v>
      </c>
      <c r="L20" s="234" t="s">
        <v>618</v>
      </c>
      <c r="M20" s="234" t="s">
        <v>619</v>
      </c>
      <c r="N20" s="234" t="s">
        <v>26</v>
      </c>
      <c r="O20" s="249" t="s">
        <v>620</v>
      </c>
      <c r="P20" s="109" t="s">
        <v>621</v>
      </c>
      <c r="Q20" s="48"/>
    </row>
    <row r="21" spans="1:17" ht="24" customHeight="1" x14ac:dyDescent="0.3">
      <c r="A21" s="619"/>
      <c r="B21" s="249" t="s">
        <v>623</v>
      </c>
      <c r="C21" s="241">
        <f>SUM(C18:C20)</f>
        <v>4989</v>
      </c>
      <c r="D21" s="241">
        <f>SUM(D18:D20)</f>
        <v>6039</v>
      </c>
      <c r="E21" s="234" t="s">
        <v>26</v>
      </c>
      <c r="F21" s="234" t="s">
        <v>26</v>
      </c>
      <c r="G21" s="49">
        <f>((C21+D21)/2)/17277</f>
        <v>0.31915263066504601</v>
      </c>
      <c r="H21" s="234" t="s">
        <v>26</v>
      </c>
      <c r="I21" s="513"/>
      <c r="J21" s="514"/>
      <c r="K21" s="234" t="s">
        <v>26</v>
      </c>
      <c r="L21" s="234" t="s">
        <v>618</v>
      </c>
      <c r="M21" s="234" t="s">
        <v>619</v>
      </c>
      <c r="N21" s="234" t="s">
        <v>26</v>
      </c>
      <c r="O21" s="249" t="s">
        <v>620</v>
      </c>
      <c r="P21" s="109" t="s">
        <v>621</v>
      </c>
      <c r="Q21" s="48"/>
    </row>
    <row r="22" spans="1:17" s="69" customFormat="1" ht="24" customHeight="1" x14ac:dyDescent="0.3">
      <c r="A22" s="619" t="s">
        <v>802</v>
      </c>
      <c r="B22" s="235" t="s">
        <v>616</v>
      </c>
      <c r="C22" s="235" t="s">
        <v>26</v>
      </c>
      <c r="D22" s="235" t="s">
        <v>26</v>
      </c>
      <c r="E22" s="235" t="s">
        <v>26</v>
      </c>
      <c r="F22" s="235" t="s">
        <v>26</v>
      </c>
      <c r="G22" s="235" t="s">
        <v>26</v>
      </c>
      <c r="H22" s="235" t="s">
        <v>26</v>
      </c>
      <c r="I22" s="509" t="s">
        <v>796</v>
      </c>
      <c r="J22" s="510"/>
      <c r="K22" s="235" t="s">
        <v>26</v>
      </c>
      <c r="L22" s="235" t="s">
        <v>618</v>
      </c>
      <c r="M22" s="235" t="s">
        <v>619</v>
      </c>
      <c r="N22" s="235" t="s">
        <v>26</v>
      </c>
      <c r="O22" s="250" t="s">
        <v>620</v>
      </c>
      <c r="P22" s="110" t="s">
        <v>621</v>
      </c>
      <c r="Q22" s="620" t="s">
        <v>803</v>
      </c>
    </row>
    <row r="23" spans="1:17" s="69" customFormat="1" ht="24" customHeight="1" x14ac:dyDescent="0.3">
      <c r="A23" s="619"/>
      <c r="B23" s="235" t="s">
        <v>622</v>
      </c>
      <c r="C23" s="507" t="s">
        <v>26</v>
      </c>
      <c r="D23" s="508"/>
      <c r="E23" s="507" t="s">
        <v>26</v>
      </c>
      <c r="F23" s="508"/>
      <c r="G23" s="235" t="s">
        <v>26</v>
      </c>
      <c r="H23" s="235" t="s">
        <v>26</v>
      </c>
      <c r="I23" s="511"/>
      <c r="J23" s="512"/>
      <c r="K23" s="235" t="s">
        <v>26</v>
      </c>
      <c r="L23" s="235" t="s">
        <v>618</v>
      </c>
      <c r="M23" s="235" t="s">
        <v>619</v>
      </c>
      <c r="N23" s="235" t="s">
        <v>26</v>
      </c>
      <c r="O23" s="250" t="s">
        <v>620</v>
      </c>
      <c r="P23" s="110" t="s">
        <v>621</v>
      </c>
      <c r="Q23" s="621"/>
    </row>
    <row r="24" spans="1:17" s="69" customFormat="1" ht="24" customHeight="1" x14ac:dyDescent="0.3">
      <c r="A24" s="619"/>
      <c r="B24" s="235">
        <v>2020</v>
      </c>
      <c r="C24" s="562" t="s">
        <v>628</v>
      </c>
      <c r="D24" s="563"/>
      <c r="E24" s="235" t="s">
        <v>26</v>
      </c>
      <c r="F24" s="235" t="s">
        <v>26</v>
      </c>
      <c r="G24" s="235" t="s">
        <v>26</v>
      </c>
      <c r="H24" s="235" t="s">
        <v>26</v>
      </c>
      <c r="I24" s="511"/>
      <c r="J24" s="512"/>
      <c r="K24" s="235" t="s">
        <v>26</v>
      </c>
      <c r="L24" s="235" t="s">
        <v>618</v>
      </c>
      <c r="M24" s="235" t="s">
        <v>619</v>
      </c>
      <c r="N24" s="235" t="s">
        <v>26</v>
      </c>
      <c r="O24" s="250" t="s">
        <v>620</v>
      </c>
      <c r="P24" s="110" t="s">
        <v>621</v>
      </c>
      <c r="Q24" s="621"/>
    </row>
    <row r="25" spans="1:17" s="69" customFormat="1" ht="24" customHeight="1" x14ac:dyDescent="0.3">
      <c r="A25" s="619"/>
      <c r="B25" s="235">
        <v>2021</v>
      </c>
      <c r="C25" s="564"/>
      <c r="D25" s="565"/>
      <c r="E25" s="235" t="s">
        <v>26</v>
      </c>
      <c r="F25" s="235" t="s">
        <v>26</v>
      </c>
      <c r="G25" s="235" t="s">
        <v>26</v>
      </c>
      <c r="H25" s="235" t="s">
        <v>26</v>
      </c>
      <c r="I25" s="511"/>
      <c r="J25" s="512"/>
      <c r="K25" s="235" t="s">
        <v>26</v>
      </c>
      <c r="L25" s="235" t="s">
        <v>618</v>
      </c>
      <c r="M25" s="235" t="s">
        <v>619</v>
      </c>
      <c r="N25" s="235" t="s">
        <v>26</v>
      </c>
      <c r="O25" s="250" t="s">
        <v>620</v>
      </c>
      <c r="P25" s="110" t="s">
        <v>621</v>
      </c>
      <c r="Q25" s="621"/>
    </row>
    <row r="26" spans="1:17" s="69" customFormat="1" ht="24" customHeight="1" x14ac:dyDescent="0.3">
      <c r="A26" s="619"/>
      <c r="B26" s="235">
        <v>2022</v>
      </c>
      <c r="C26" s="564"/>
      <c r="D26" s="565"/>
      <c r="E26" s="235" t="s">
        <v>26</v>
      </c>
      <c r="F26" s="235" t="s">
        <v>26</v>
      </c>
      <c r="G26" s="235" t="s">
        <v>26</v>
      </c>
      <c r="H26" s="235" t="s">
        <v>26</v>
      </c>
      <c r="I26" s="511"/>
      <c r="J26" s="512"/>
      <c r="K26" s="235" t="s">
        <v>26</v>
      </c>
      <c r="L26" s="235" t="s">
        <v>618</v>
      </c>
      <c r="M26" s="235" t="s">
        <v>619</v>
      </c>
      <c r="N26" s="235" t="s">
        <v>26</v>
      </c>
      <c r="O26" s="250" t="s">
        <v>620</v>
      </c>
      <c r="P26" s="110" t="s">
        <v>621</v>
      </c>
      <c r="Q26" s="621"/>
    </row>
    <row r="27" spans="1:17" s="69" customFormat="1" ht="24" customHeight="1" x14ac:dyDescent="0.3">
      <c r="A27" s="619"/>
      <c r="B27" s="250" t="s">
        <v>623</v>
      </c>
      <c r="C27" s="566"/>
      <c r="D27" s="567"/>
      <c r="E27" s="235" t="s">
        <v>26</v>
      </c>
      <c r="F27" s="235" t="s">
        <v>26</v>
      </c>
      <c r="G27" s="235" t="s">
        <v>26</v>
      </c>
      <c r="H27" s="235" t="s">
        <v>26</v>
      </c>
      <c r="I27" s="513"/>
      <c r="J27" s="514"/>
      <c r="K27" s="235" t="s">
        <v>26</v>
      </c>
      <c r="L27" s="235" t="s">
        <v>618</v>
      </c>
      <c r="M27" s="235" t="s">
        <v>619</v>
      </c>
      <c r="N27" s="235" t="s">
        <v>26</v>
      </c>
      <c r="O27" s="250" t="s">
        <v>620</v>
      </c>
      <c r="P27" s="110" t="s">
        <v>621</v>
      </c>
      <c r="Q27" s="622"/>
    </row>
  </sheetData>
  <mergeCells count="32">
    <mergeCell ref="A22:A27"/>
    <mergeCell ref="C23:D23"/>
    <mergeCell ref="E23:F23"/>
    <mergeCell ref="I22:J27"/>
    <mergeCell ref="Q22:Q27"/>
    <mergeCell ref="C24:D27"/>
    <mergeCell ref="H2:H3"/>
    <mergeCell ref="A10:A15"/>
    <mergeCell ref="C11:D11"/>
    <mergeCell ref="E11:F11"/>
    <mergeCell ref="I10:J15"/>
    <mergeCell ref="I2:I3"/>
    <mergeCell ref="J2:J3"/>
    <mergeCell ref="A2:A3"/>
    <mergeCell ref="B2:B3"/>
    <mergeCell ref="C2:D2"/>
    <mergeCell ref="E2:F2"/>
    <mergeCell ref="G2:G3"/>
    <mergeCell ref="A16:A21"/>
    <mergeCell ref="C17:D17"/>
    <mergeCell ref="E17:F17"/>
    <mergeCell ref="I16:J21"/>
    <mergeCell ref="A4:A9"/>
    <mergeCell ref="C5:D5"/>
    <mergeCell ref="I4:J9"/>
    <mergeCell ref="O2:O3"/>
    <mergeCell ref="P2:P3"/>
    <mergeCell ref="Q2:Q3"/>
    <mergeCell ref="K2:K3"/>
    <mergeCell ref="L2:L3"/>
    <mergeCell ref="M2:M3"/>
    <mergeCell ref="N2:N3"/>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3" manualBreakCount="3">
    <brk id="9" max="16383" man="1"/>
    <brk id="15" max="16383" man="1"/>
    <brk id="21" max="1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E29D-B2D8-47B0-89F4-0F786B4F3CB5}">
  <dimension ref="A1:Q27"/>
  <sheetViews>
    <sheetView view="pageLayout" topLeftCell="A25" zoomScaleNormal="100" workbookViewId="0">
      <selection activeCell="U14" sqref="U14"/>
    </sheetView>
  </sheetViews>
  <sheetFormatPr defaultRowHeight="14.4" x14ac:dyDescent="0.3"/>
  <cols>
    <col min="1" max="1" width="11.6640625" customWidth="1"/>
    <col min="2" max="2" width="10.44140625" bestFit="1" customWidth="1"/>
    <col min="3" max="3" width="7.44140625" customWidth="1"/>
    <col min="4" max="4" width="7.88671875" customWidth="1"/>
    <col min="5" max="5" width="6.6640625" customWidth="1"/>
    <col min="6" max="6" width="5.44140625" customWidth="1"/>
    <col min="11" max="11" width="8.44140625" customWidth="1"/>
    <col min="13" max="13" width="12.33203125" bestFit="1" customWidth="1"/>
    <col min="15" max="15" width="11.5546875" customWidth="1"/>
    <col min="16" max="16" width="14.88671875" bestFit="1" customWidth="1"/>
    <col min="17" max="17" width="11" customWidth="1"/>
  </cols>
  <sheetData>
    <row r="1" spans="1:17" ht="18" x14ac:dyDescent="0.35">
      <c r="A1" s="322" t="s">
        <v>804</v>
      </c>
      <c r="B1" s="323"/>
      <c r="C1" s="323"/>
      <c r="D1" s="323"/>
      <c r="E1" s="323"/>
      <c r="F1" s="323"/>
      <c r="G1" s="323"/>
      <c r="H1" s="323"/>
      <c r="I1" s="323"/>
      <c r="J1" s="323"/>
      <c r="K1" s="323"/>
      <c r="L1" s="323"/>
      <c r="M1" s="323"/>
      <c r="N1" s="323"/>
      <c r="O1" s="323"/>
      <c r="P1" s="323"/>
      <c r="Q1" s="326"/>
    </row>
    <row r="2" spans="1:17" ht="61.2" customHeight="1" x14ac:dyDescent="0.3">
      <c r="A2" s="617" t="s">
        <v>600</v>
      </c>
      <c r="B2" s="617" t="s">
        <v>291</v>
      </c>
      <c r="C2" s="617" t="s">
        <v>601</v>
      </c>
      <c r="D2" s="617"/>
      <c r="E2" s="617" t="s">
        <v>602</v>
      </c>
      <c r="F2" s="617"/>
      <c r="G2" s="617" t="s">
        <v>603</v>
      </c>
      <c r="H2" s="617" t="s">
        <v>604</v>
      </c>
      <c r="I2" s="617" t="s">
        <v>605</v>
      </c>
      <c r="J2" s="617" t="s">
        <v>606</v>
      </c>
      <c r="K2" s="617" t="s">
        <v>607</v>
      </c>
      <c r="L2" s="617" t="s">
        <v>608</v>
      </c>
      <c r="M2" s="617" t="s">
        <v>609</v>
      </c>
      <c r="N2" s="617" t="s">
        <v>610</v>
      </c>
      <c r="O2" s="617" t="s">
        <v>611</v>
      </c>
      <c r="P2" s="617" t="s">
        <v>612</v>
      </c>
      <c r="Q2" s="617" t="s">
        <v>33</v>
      </c>
    </row>
    <row r="3" spans="1:17" x14ac:dyDescent="0.3">
      <c r="A3" s="617"/>
      <c r="B3" s="617"/>
      <c r="C3" s="97" t="s">
        <v>613</v>
      </c>
      <c r="D3" s="97" t="s">
        <v>614</v>
      </c>
      <c r="E3" s="97" t="s">
        <v>613</v>
      </c>
      <c r="F3" s="97" t="s">
        <v>614</v>
      </c>
      <c r="G3" s="617"/>
      <c r="H3" s="617"/>
      <c r="I3" s="617"/>
      <c r="J3" s="617"/>
      <c r="K3" s="617"/>
      <c r="L3" s="617"/>
      <c r="M3" s="617"/>
      <c r="N3" s="617"/>
      <c r="O3" s="617"/>
      <c r="P3" s="617"/>
      <c r="Q3" s="617"/>
    </row>
    <row r="4" spans="1:17" ht="27.6" x14ac:dyDescent="0.3">
      <c r="A4" s="619" t="s">
        <v>805</v>
      </c>
      <c r="B4" s="234" t="s">
        <v>616</v>
      </c>
      <c r="C4" s="568" t="s">
        <v>628</v>
      </c>
      <c r="D4" s="569"/>
      <c r="E4" s="234" t="s">
        <v>26</v>
      </c>
      <c r="F4" s="234" t="s">
        <v>26</v>
      </c>
      <c r="G4" s="234" t="s">
        <v>26</v>
      </c>
      <c r="H4" s="234" t="s">
        <v>26</v>
      </c>
      <c r="I4" s="499" t="s">
        <v>630</v>
      </c>
      <c r="J4" s="500"/>
      <c r="K4" s="234" t="s">
        <v>26</v>
      </c>
      <c r="L4" s="234" t="s">
        <v>618</v>
      </c>
      <c r="M4" s="234" t="s">
        <v>619</v>
      </c>
      <c r="N4" s="234" t="s">
        <v>26</v>
      </c>
      <c r="O4" s="249" t="s">
        <v>620</v>
      </c>
      <c r="P4" s="234" t="s">
        <v>621</v>
      </c>
      <c r="Q4" s="515" t="s">
        <v>806</v>
      </c>
    </row>
    <row r="5" spans="1:17" ht="27.6" x14ac:dyDescent="0.3">
      <c r="A5" s="619"/>
      <c r="B5" s="234" t="s">
        <v>622</v>
      </c>
      <c r="C5" s="570"/>
      <c r="D5" s="571"/>
      <c r="E5" s="522" t="s">
        <v>26</v>
      </c>
      <c r="F5" s="523"/>
      <c r="G5" s="234" t="s">
        <v>26</v>
      </c>
      <c r="H5" s="234" t="s">
        <v>26</v>
      </c>
      <c r="I5" s="501"/>
      <c r="J5" s="502"/>
      <c r="K5" s="234" t="s">
        <v>26</v>
      </c>
      <c r="L5" s="234" t="s">
        <v>618</v>
      </c>
      <c r="M5" s="234" t="s">
        <v>619</v>
      </c>
      <c r="N5" s="234" t="s">
        <v>26</v>
      </c>
      <c r="O5" s="249" t="s">
        <v>620</v>
      </c>
      <c r="P5" s="234" t="s">
        <v>621</v>
      </c>
      <c r="Q5" s="516"/>
    </row>
    <row r="6" spans="1:17" ht="27.6" x14ac:dyDescent="0.3">
      <c r="A6" s="619"/>
      <c r="B6" s="234">
        <v>2020</v>
      </c>
      <c r="C6" s="570"/>
      <c r="D6" s="571"/>
      <c r="E6" s="234" t="s">
        <v>26</v>
      </c>
      <c r="F6" s="234" t="s">
        <v>26</v>
      </c>
      <c r="G6" s="234" t="s">
        <v>26</v>
      </c>
      <c r="H6" s="234" t="s">
        <v>26</v>
      </c>
      <c r="I6" s="501"/>
      <c r="J6" s="502"/>
      <c r="K6" s="234" t="s">
        <v>26</v>
      </c>
      <c r="L6" s="234" t="s">
        <v>618</v>
      </c>
      <c r="M6" s="234" t="s">
        <v>619</v>
      </c>
      <c r="N6" s="234" t="s">
        <v>26</v>
      </c>
      <c r="O6" s="249" t="s">
        <v>620</v>
      </c>
      <c r="P6" s="234" t="s">
        <v>621</v>
      </c>
      <c r="Q6" s="516"/>
    </row>
    <row r="7" spans="1:17" ht="27.6" x14ac:dyDescent="0.3">
      <c r="A7" s="619"/>
      <c r="B7" s="234">
        <v>2021</v>
      </c>
      <c r="C7" s="570"/>
      <c r="D7" s="571"/>
      <c r="E7" s="234" t="s">
        <v>26</v>
      </c>
      <c r="F7" s="234" t="s">
        <v>26</v>
      </c>
      <c r="G7" s="234" t="s">
        <v>26</v>
      </c>
      <c r="H7" s="234" t="s">
        <v>26</v>
      </c>
      <c r="I7" s="501"/>
      <c r="J7" s="502"/>
      <c r="K7" s="234" t="s">
        <v>26</v>
      </c>
      <c r="L7" s="234" t="s">
        <v>618</v>
      </c>
      <c r="M7" s="234" t="s">
        <v>619</v>
      </c>
      <c r="N7" s="234" t="s">
        <v>26</v>
      </c>
      <c r="O7" s="249" t="s">
        <v>620</v>
      </c>
      <c r="P7" s="234" t="s">
        <v>621</v>
      </c>
      <c r="Q7" s="516"/>
    </row>
    <row r="8" spans="1:17" ht="27.6" x14ac:dyDescent="0.3">
      <c r="A8" s="619"/>
      <c r="B8" s="234">
        <v>2022</v>
      </c>
      <c r="C8" s="570"/>
      <c r="D8" s="571"/>
      <c r="E8" s="234" t="s">
        <v>26</v>
      </c>
      <c r="F8" s="234" t="s">
        <v>26</v>
      </c>
      <c r="G8" s="234" t="s">
        <v>26</v>
      </c>
      <c r="H8" s="234" t="s">
        <v>26</v>
      </c>
      <c r="I8" s="501"/>
      <c r="J8" s="502"/>
      <c r="K8" s="234" t="s">
        <v>26</v>
      </c>
      <c r="L8" s="234" t="s">
        <v>618</v>
      </c>
      <c r="M8" s="234" t="s">
        <v>619</v>
      </c>
      <c r="N8" s="234" t="s">
        <v>26</v>
      </c>
      <c r="O8" s="249" t="s">
        <v>620</v>
      </c>
      <c r="P8" s="234" t="s">
        <v>621</v>
      </c>
      <c r="Q8" s="516"/>
    </row>
    <row r="9" spans="1:17" ht="27.6" x14ac:dyDescent="0.3">
      <c r="A9" s="619"/>
      <c r="B9" s="249" t="s">
        <v>623</v>
      </c>
      <c r="C9" s="572"/>
      <c r="D9" s="573"/>
      <c r="E9" s="234" t="s">
        <v>26</v>
      </c>
      <c r="F9" s="234" t="s">
        <v>26</v>
      </c>
      <c r="G9" s="234" t="s">
        <v>26</v>
      </c>
      <c r="H9" s="234" t="s">
        <v>26</v>
      </c>
      <c r="I9" s="503"/>
      <c r="J9" s="504"/>
      <c r="K9" s="234" t="s">
        <v>26</v>
      </c>
      <c r="L9" s="234" t="s">
        <v>618</v>
      </c>
      <c r="M9" s="234" t="s">
        <v>619</v>
      </c>
      <c r="N9" s="234" t="s">
        <v>26</v>
      </c>
      <c r="O9" s="249" t="s">
        <v>620</v>
      </c>
      <c r="P9" s="234" t="s">
        <v>621</v>
      </c>
      <c r="Q9" s="517"/>
    </row>
    <row r="10" spans="1:17" ht="27.6" x14ac:dyDescent="0.3">
      <c r="A10" s="619" t="s">
        <v>807</v>
      </c>
      <c r="B10" s="235" t="s">
        <v>616</v>
      </c>
      <c r="C10" s="562" t="s">
        <v>628</v>
      </c>
      <c r="D10" s="563"/>
      <c r="E10" s="235" t="s">
        <v>26</v>
      </c>
      <c r="F10" s="235" t="s">
        <v>26</v>
      </c>
      <c r="G10" s="235" t="s">
        <v>26</v>
      </c>
      <c r="H10" s="235" t="s">
        <v>26</v>
      </c>
      <c r="I10" s="509" t="s">
        <v>630</v>
      </c>
      <c r="J10" s="510"/>
      <c r="K10" s="235" t="s">
        <v>26</v>
      </c>
      <c r="L10" s="235" t="s">
        <v>618</v>
      </c>
      <c r="M10" s="235" t="s">
        <v>619</v>
      </c>
      <c r="N10" s="235" t="s">
        <v>26</v>
      </c>
      <c r="O10" s="250" t="s">
        <v>620</v>
      </c>
      <c r="P10" s="110" t="s">
        <v>621</v>
      </c>
      <c r="Q10" s="525" t="s">
        <v>806</v>
      </c>
    </row>
    <row r="11" spans="1:17" ht="27.6" x14ac:dyDescent="0.3">
      <c r="A11" s="619"/>
      <c r="B11" s="235" t="s">
        <v>622</v>
      </c>
      <c r="C11" s="564"/>
      <c r="D11" s="565"/>
      <c r="E11" s="507" t="s">
        <v>26</v>
      </c>
      <c r="F11" s="508"/>
      <c r="G11" s="235" t="s">
        <v>26</v>
      </c>
      <c r="H11" s="235" t="s">
        <v>26</v>
      </c>
      <c r="I11" s="511"/>
      <c r="J11" s="512"/>
      <c r="K11" s="235" t="s">
        <v>26</v>
      </c>
      <c r="L11" s="235" t="s">
        <v>618</v>
      </c>
      <c r="M11" s="235" t="s">
        <v>619</v>
      </c>
      <c r="N11" s="235" t="s">
        <v>26</v>
      </c>
      <c r="O11" s="250" t="s">
        <v>620</v>
      </c>
      <c r="P11" s="110" t="s">
        <v>621</v>
      </c>
      <c r="Q11" s="526"/>
    </row>
    <row r="12" spans="1:17" ht="27.6" x14ac:dyDescent="0.3">
      <c r="A12" s="619"/>
      <c r="B12" s="235">
        <v>2020</v>
      </c>
      <c r="C12" s="564"/>
      <c r="D12" s="565"/>
      <c r="E12" s="235" t="s">
        <v>26</v>
      </c>
      <c r="F12" s="235" t="s">
        <v>26</v>
      </c>
      <c r="G12" s="235" t="s">
        <v>26</v>
      </c>
      <c r="H12" s="235" t="s">
        <v>26</v>
      </c>
      <c r="I12" s="511"/>
      <c r="J12" s="512"/>
      <c r="K12" s="235" t="s">
        <v>26</v>
      </c>
      <c r="L12" s="235" t="s">
        <v>618</v>
      </c>
      <c r="M12" s="235" t="s">
        <v>619</v>
      </c>
      <c r="N12" s="235" t="s">
        <v>26</v>
      </c>
      <c r="O12" s="250" t="s">
        <v>620</v>
      </c>
      <c r="P12" s="110" t="s">
        <v>621</v>
      </c>
      <c r="Q12" s="526"/>
    </row>
    <row r="13" spans="1:17" ht="27.6" x14ac:dyDescent="0.3">
      <c r="A13" s="619"/>
      <c r="B13" s="235">
        <v>2021</v>
      </c>
      <c r="C13" s="564"/>
      <c r="D13" s="565"/>
      <c r="E13" s="235" t="s">
        <v>26</v>
      </c>
      <c r="F13" s="235" t="s">
        <v>26</v>
      </c>
      <c r="G13" s="235" t="s">
        <v>26</v>
      </c>
      <c r="H13" s="235" t="s">
        <v>26</v>
      </c>
      <c r="I13" s="511"/>
      <c r="J13" s="512"/>
      <c r="K13" s="235" t="s">
        <v>26</v>
      </c>
      <c r="L13" s="235" t="s">
        <v>618</v>
      </c>
      <c r="M13" s="235" t="s">
        <v>619</v>
      </c>
      <c r="N13" s="235" t="s">
        <v>26</v>
      </c>
      <c r="O13" s="250" t="s">
        <v>620</v>
      </c>
      <c r="P13" s="110" t="s">
        <v>621</v>
      </c>
      <c r="Q13" s="526"/>
    </row>
    <row r="14" spans="1:17" ht="27.6" x14ac:dyDescent="0.3">
      <c r="A14" s="619"/>
      <c r="B14" s="235">
        <v>2022</v>
      </c>
      <c r="C14" s="564"/>
      <c r="D14" s="565"/>
      <c r="E14" s="235" t="s">
        <v>26</v>
      </c>
      <c r="F14" s="235" t="s">
        <v>26</v>
      </c>
      <c r="G14" s="235" t="s">
        <v>26</v>
      </c>
      <c r="H14" s="235" t="s">
        <v>26</v>
      </c>
      <c r="I14" s="511"/>
      <c r="J14" s="512"/>
      <c r="K14" s="235" t="s">
        <v>26</v>
      </c>
      <c r="L14" s="235" t="s">
        <v>618</v>
      </c>
      <c r="M14" s="235" t="s">
        <v>619</v>
      </c>
      <c r="N14" s="235" t="s">
        <v>26</v>
      </c>
      <c r="O14" s="250" t="s">
        <v>620</v>
      </c>
      <c r="P14" s="110" t="s">
        <v>621</v>
      </c>
      <c r="Q14" s="526"/>
    </row>
    <row r="15" spans="1:17" ht="27.6" x14ac:dyDescent="0.3">
      <c r="A15" s="619"/>
      <c r="B15" s="250" t="s">
        <v>623</v>
      </c>
      <c r="C15" s="566"/>
      <c r="D15" s="567"/>
      <c r="E15" s="235" t="s">
        <v>26</v>
      </c>
      <c r="F15" s="235" t="s">
        <v>26</v>
      </c>
      <c r="G15" s="235" t="s">
        <v>26</v>
      </c>
      <c r="H15" s="235" t="s">
        <v>26</v>
      </c>
      <c r="I15" s="513"/>
      <c r="J15" s="514"/>
      <c r="K15" s="235" t="s">
        <v>26</v>
      </c>
      <c r="L15" s="235" t="s">
        <v>618</v>
      </c>
      <c r="M15" s="235" t="s">
        <v>619</v>
      </c>
      <c r="N15" s="235" t="s">
        <v>26</v>
      </c>
      <c r="O15" s="250" t="s">
        <v>620</v>
      </c>
      <c r="P15" s="110" t="s">
        <v>621</v>
      </c>
      <c r="Q15" s="527"/>
    </row>
    <row r="16" spans="1:17" ht="27.6" x14ac:dyDescent="0.3">
      <c r="A16" s="619" t="s">
        <v>808</v>
      </c>
      <c r="B16" s="234" t="s">
        <v>616</v>
      </c>
      <c r="C16" s="241">
        <v>4000</v>
      </c>
      <c r="D16" s="241">
        <v>6000</v>
      </c>
      <c r="E16" s="234" t="s">
        <v>26</v>
      </c>
      <c r="F16" s="234" t="s">
        <v>26</v>
      </c>
      <c r="G16" s="49">
        <f>((C16+D16)/2)/17277</f>
        <v>0.28940209527116978</v>
      </c>
      <c r="H16" s="234" t="s">
        <v>26</v>
      </c>
      <c r="I16" s="499" t="s">
        <v>630</v>
      </c>
      <c r="J16" s="500"/>
      <c r="K16" s="234" t="s">
        <v>26</v>
      </c>
      <c r="L16" s="234" t="s">
        <v>809</v>
      </c>
      <c r="M16" s="234" t="s">
        <v>619</v>
      </c>
      <c r="N16" s="234" t="s">
        <v>26</v>
      </c>
      <c r="O16" s="249" t="s">
        <v>620</v>
      </c>
      <c r="P16" s="109" t="s">
        <v>621</v>
      </c>
      <c r="Q16" s="109"/>
    </row>
    <row r="17" spans="1:17" ht="27.6" x14ac:dyDescent="0.3">
      <c r="A17" s="619"/>
      <c r="B17" s="234" t="s">
        <v>622</v>
      </c>
      <c r="C17" s="520">
        <v>4727</v>
      </c>
      <c r="D17" s="521"/>
      <c r="E17" s="522" t="s">
        <v>26</v>
      </c>
      <c r="F17" s="523"/>
      <c r="G17" s="49">
        <f t="shared" ref="G17:G21" si="0">((C17+D17)/2)/17277</f>
        <v>0.13680037043468193</v>
      </c>
      <c r="H17" s="234" t="s">
        <v>26</v>
      </c>
      <c r="I17" s="501"/>
      <c r="J17" s="502"/>
      <c r="K17" s="234" t="s">
        <v>26</v>
      </c>
      <c r="L17" s="234" t="s">
        <v>809</v>
      </c>
      <c r="M17" s="234" t="s">
        <v>619</v>
      </c>
      <c r="N17" s="234" t="s">
        <v>26</v>
      </c>
      <c r="O17" s="249" t="s">
        <v>620</v>
      </c>
      <c r="P17" s="109" t="s">
        <v>621</v>
      </c>
      <c r="Q17" s="109"/>
    </row>
    <row r="18" spans="1:17" ht="27.6" x14ac:dyDescent="0.3">
      <c r="A18" s="619"/>
      <c r="B18" s="234">
        <v>2020</v>
      </c>
      <c r="C18" s="241">
        <f>2688+1400</f>
        <v>4088</v>
      </c>
      <c r="D18" s="241">
        <f>3254+1400</f>
        <v>4654</v>
      </c>
      <c r="E18" s="234" t="s">
        <v>26</v>
      </c>
      <c r="F18" s="234" t="s">
        <v>26</v>
      </c>
      <c r="G18" s="49">
        <f t="shared" si="0"/>
        <v>0.2529953116860566</v>
      </c>
      <c r="H18" s="234" t="s">
        <v>26</v>
      </c>
      <c r="I18" s="501"/>
      <c r="J18" s="502"/>
      <c r="K18" s="234" t="s">
        <v>26</v>
      </c>
      <c r="L18" s="234" t="s">
        <v>809</v>
      </c>
      <c r="M18" s="234" t="s">
        <v>619</v>
      </c>
      <c r="N18" s="234" t="s">
        <v>26</v>
      </c>
      <c r="O18" s="249" t="s">
        <v>620</v>
      </c>
      <c r="P18" s="109" t="s">
        <v>621</v>
      </c>
      <c r="Q18" s="109"/>
    </row>
    <row r="19" spans="1:17" ht="27.6" x14ac:dyDescent="0.3">
      <c r="A19" s="619"/>
      <c r="B19" s="234">
        <v>2021</v>
      </c>
      <c r="C19" s="241">
        <f t="shared" ref="C19:C20" si="1">2688+1400</f>
        <v>4088</v>
      </c>
      <c r="D19" s="241">
        <f t="shared" ref="D19:D20" si="2">3254+1400</f>
        <v>4654</v>
      </c>
      <c r="E19" s="234" t="s">
        <v>26</v>
      </c>
      <c r="F19" s="234" t="s">
        <v>26</v>
      </c>
      <c r="G19" s="49">
        <f t="shared" si="0"/>
        <v>0.2529953116860566</v>
      </c>
      <c r="H19" s="234" t="s">
        <v>26</v>
      </c>
      <c r="I19" s="501"/>
      <c r="J19" s="502"/>
      <c r="K19" s="234" t="s">
        <v>26</v>
      </c>
      <c r="L19" s="234" t="s">
        <v>809</v>
      </c>
      <c r="M19" s="234" t="s">
        <v>619</v>
      </c>
      <c r="N19" s="234" t="s">
        <v>26</v>
      </c>
      <c r="O19" s="249" t="s">
        <v>620</v>
      </c>
      <c r="P19" s="109" t="s">
        <v>621</v>
      </c>
      <c r="Q19" s="109"/>
    </row>
    <row r="20" spans="1:17" ht="27.6" x14ac:dyDescent="0.3">
      <c r="A20" s="619"/>
      <c r="B20" s="234">
        <v>2022</v>
      </c>
      <c r="C20" s="241">
        <f t="shared" si="1"/>
        <v>4088</v>
      </c>
      <c r="D20" s="241">
        <f t="shared" si="2"/>
        <v>4654</v>
      </c>
      <c r="E20" s="234" t="s">
        <v>26</v>
      </c>
      <c r="F20" s="234" t="s">
        <v>26</v>
      </c>
      <c r="G20" s="49">
        <f t="shared" si="0"/>
        <v>0.2529953116860566</v>
      </c>
      <c r="H20" s="234" t="s">
        <v>26</v>
      </c>
      <c r="I20" s="501"/>
      <c r="J20" s="502"/>
      <c r="K20" s="234" t="s">
        <v>26</v>
      </c>
      <c r="L20" s="234" t="s">
        <v>809</v>
      </c>
      <c r="M20" s="234" t="s">
        <v>619</v>
      </c>
      <c r="N20" s="234" t="s">
        <v>26</v>
      </c>
      <c r="O20" s="249" t="s">
        <v>620</v>
      </c>
      <c r="P20" s="109" t="s">
        <v>621</v>
      </c>
      <c r="Q20" s="109"/>
    </row>
    <row r="21" spans="1:17" ht="27.6" x14ac:dyDescent="0.3">
      <c r="A21" s="619"/>
      <c r="B21" s="249" t="s">
        <v>623</v>
      </c>
      <c r="C21" s="241">
        <f>SUM(C18:C20)</f>
        <v>12264</v>
      </c>
      <c r="D21" s="241">
        <f>SUM(D18:D20)</f>
        <v>13962</v>
      </c>
      <c r="E21" s="234" t="s">
        <v>26</v>
      </c>
      <c r="F21" s="234" t="s">
        <v>26</v>
      </c>
      <c r="G21" s="49">
        <f t="shared" si="0"/>
        <v>0.7589859350581698</v>
      </c>
      <c r="H21" s="234" t="s">
        <v>26</v>
      </c>
      <c r="I21" s="503"/>
      <c r="J21" s="504"/>
      <c r="K21" s="234" t="s">
        <v>26</v>
      </c>
      <c r="L21" s="234" t="s">
        <v>809</v>
      </c>
      <c r="M21" s="234" t="s">
        <v>619</v>
      </c>
      <c r="N21" s="234" t="s">
        <v>26</v>
      </c>
      <c r="O21" s="249" t="s">
        <v>620</v>
      </c>
      <c r="P21" s="109" t="s">
        <v>621</v>
      </c>
      <c r="Q21" s="109"/>
    </row>
    <row r="22" spans="1:17" ht="27.6" x14ac:dyDescent="0.3">
      <c r="A22" s="619" t="s">
        <v>810</v>
      </c>
      <c r="B22" s="235" t="s">
        <v>616</v>
      </c>
      <c r="C22" s="51" t="s">
        <v>26</v>
      </c>
      <c r="D22" s="51" t="s">
        <v>26</v>
      </c>
      <c r="E22" s="235" t="s">
        <v>26</v>
      </c>
      <c r="F22" s="235" t="s">
        <v>26</v>
      </c>
      <c r="G22" s="50" t="s">
        <v>26</v>
      </c>
      <c r="H22" s="235" t="s">
        <v>26</v>
      </c>
      <c r="I22" s="509" t="s">
        <v>630</v>
      </c>
      <c r="J22" s="510"/>
      <c r="K22" s="235" t="s">
        <v>26</v>
      </c>
      <c r="L22" s="235" t="s">
        <v>809</v>
      </c>
      <c r="M22" s="235" t="s">
        <v>619</v>
      </c>
      <c r="N22" s="235" t="s">
        <v>26</v>
      </c>
      <c r="O22" s="250" t="s">
        <v>620</v>
      </c>
      <c r="P22" s="110" t="s">
        <v>621</v>
      </c>
      <c r="Q22" s="110"/>
    </row>
    <row r="23" spans="1:17" ht="27.6" x14ac:dyDescent="0.3">
      <c r="A23" s="619"/>
      <c r="B23" s="235" t="s">
        <v>622</v>
      </c>
      <c r="C23" s="505" t="s">
        <v>26</v>
      </c>
      <c r="D23" s="506"/>
      <c r="E23" s="507" t="s">
        <v>26</v>
      </c>
      <c r="F23" s="508"/>
      <c r="G23" s="50" t="s">
        <v>26</v>
      </c>
      <c r="H23" s="235" t="s">
        <v>26</v>
      </c>
      <c r="I23" s="511"/>
      <c r="J23" s="512"/>
      <c r="K23" s="235" t="s">
        <v>26</v>
      </c>
      <c r="L23" s="235" t="s">
        <v>809</v>
      </c>
      <c r="M23" s="235" t="s">
        <v>619</v>
      </c>
      <c r="N23" s="235" t="s">
        <v>26</v>
      </c>
      <c r="O23" s="250" t="s">
        <v>620</v>
      </c>
      <c r="P23" s="110" t="s">
        <v>621</v>
      </c>
      <c r="Q23" s="110"/>
    </row>
    <row r="24" spans="1:17" ht="27.6" x14ac:dyDescent="0.3">
      <c r="A24" s="619"/>
      <c r="B24" s="235">
        <v>2020</v>
      </c>
      <c r="C24" s="51">
        <f>4500*0.8</f>
        <v>3600</v>
      </c>
      <c r="D24" s="51">
        <f>4500*1.2</f>
        <v>5400</v>
      </c>
      <c r="E24" s="235" t="s">
        <v>26</v>
      </c>
      <c r="F24" s="235" t="s">
        <v>26</v>
      </c>
      <c r="G24" s="50">
        <f t="shared" ref="G24:G27" si="3">((C24+D24)/2)/17277</f>
        <v>0.26046188574405277</v>
      </c>
      <c r="H24" s="235" t="s">
        <v>26</v>
      </c>
      <c r="I24" s="511"/>
      <c r="J24" s="512"/>
      <c r="K24" s="235" t="s">
        <v>26</v>
      </c>
      <c r="L24" s="235" t="s">
        <v>809</v>
      </c>
      <c r="M24" s="235" t="s">
        <v>619</v>
      </c>
      <c r="N24" s="235" t="s">
        <v>26</v>
      </c>
      <c r="O24" s="250" t="s">
        <v>620</v>
      </c>
      <c r="P24" s="110" t="s">
        <v>621</v>
      </c>
      <c r="Q24" s="110"/>
    </row>
    <row r="25" spans="1:17" ht="27.6" x14ac:dyDescent="0.3">
      <c r="A25" s="619"/>
      <c r="B25" s="235">
        <v>2021</v>
      </c>
      <c r="C25" s="51">
        <v>0</v>
      </c>
      <c r="D25" s="51">
        <v>0</v>
      </c>
      <c r="E25" s="235" t="s">
        <v>26</v>
      </c>
      <c r="F25" s="235" t="s">
        <v>26</v>
      </c>
      <c r="G25" s="50">
        <f t="shared" si="3"/>
        <v>0</v>
      </c>
      <c r="H25" s="235" t="s">
        <v>26</v>
      </c>
      <c r="I25" s="511"/>
      <c r="J25" s="512"/>
      <c r="K25" s="235" t="s">
        <v>26</v>
      </c>
      <c r="L25" s="235" t="s">
        <v>809</v>
      </c>
      <c r="M25" s="235" t="s">
        <v>619</v>
      </c>
      <c r="N25" s="235" t="s">
        <v>26</v>
      </c>
      <c r="O25" s="250" t="s">
        <v>620</v>
      </c>
      <c r="P25" s="110" t="s">
        <v>621</v>
      </c>
      <c r="Q25" s="110"/>
    </row>
    <row r="26" spans="1:17" ht="27.6" x14ac:dyDescent="0.3">
      <c r="A26" s="619"/>
      <c r="B26" s="235">
        <v>2022</v>
      </c>
      <c r="C26" s="51">
        <v>0</v>
      </c>
      <c r="D26" s="51">
        <v>0</v>
      </c>
      <c r="E26" s="235" t="s">
        <v>26</v>
      </c>
      <c r="F26" s="235" t="s">
        <v>26</v>
      </c>
      <c r="G26" s="50">
        <f t="shared" si="3"/>
        <v>0</v>
      </c>
      <c r="H26" s="235" t="s">
        <v>26</v>
      </c>
      <c r="I26" s="511"/>
      <c r="J26" s="512"/>
      <c r="K26" s="235" t="s">
        <v>26</v>
      </c>
      <c r="L26" s="235" t="s">
        <v>809</v>
      </c>
      <c r="M26" s="235" t="s">
        <v>619</v>
      </c>
      <c r="N26" s="235" t="s">
        <v>26</v>
      </c>
      <c r="O26" s="250" t="s">
        <v>620</v>
      </c>
      <c r="P26" s="110" t="s">
        <v>621</v>
      </c>
      <c r="Q26" s="110"/>
    </row>
    <row r="27" spans="1:17" ht="27.6" x14ac:dyDescent="0.3">
      <c r="A27" s="619"/>
      <c r="B27" s="250" t="s">
        <v>623</v>
      </c>
      <c r="C27" s="51">
        <f>SUM(C24:C26)</f>
        <v>3600</v>
      </c>
      <c r="D27" s="51">
        <f>SUM(D24:D26)</f>
        <v>5400</v>
      </c>
      <c r="E27" s="235" t="s">
        <v>26</v>
      </c>
      <c r="F27" s="235" t="s">
        <v>26</v>
      </c>
      <c r="G27" s="50">
        <f t="shared" si="3"/>
        <v>0.26046188574405277</v>
      </c>
      <c r="H27" s="235" t="s">
        <v>26</v>
      </c>
      <c r="I27" s="513"/>
      <c r="J27" s="514"/>
      <c r="K27" s="235" t="s">
        <v>26</v>
      </c>
      <c r="L27" s="235" t="s">
        <v>809</v>
      </c>
      <c r="M27" s="235" t="s">
        <v>619</v>
      </c>
      <c r="N27" s="235" t="s">
        <v>26</v>
      </c>
      <c r="O27" s="250" t="s">
        <v>620</v>
      </c>
      <c r="P27" s="110" t="s">
        <v>621</v>
      </c>
      <c r="Q27" s="110"/>
    </row>
  </sheetData>
  <mergeCells count="33">
    <mergeCell ref="A22:A27"/>
    <mergeCell ref="I22:J27"/>
    <mergeCell ref="C23:D23"/>
    <mergeCell ref="E23:F23"/>
    <mergeCell ref="C2:D2"/>
    <mergeCell ref="E2:F2"/>
    <mergeCell ref="G2:G3"/>
    <mergeCell ref="A4:A9"/>
    <mergeCell ref="C4:D9"/>
    <mergeCell ref="A2:A3"/>
    <mergeCell ref="B2:B3"/>
    <mergeCell ref="A10:A15"/>
    <mergeCell ref="C10:D15"/>
    <mergeCell ref="I10:J15"/>
    <mergeCell ref="A16:A21"/>
    <mergeCell ref="I16:J21"/>
    <mergeCell ref="H2:H3"/>
    <mergeCell ref="O2:O3"/>
    <mergeCell ref="P2:P3"/>
    <mergeCell ref="Q2:Q3"/>
    <mergeCell ref="I4:J9"/>
    <mergeCell ref="Q4:Q9"/>
    <mergeCell ref="I2:I3"/>
    <mergeCell ref="J2:J3"/>
    <mergeCell ref="K2:K3"/>
    <mergeCell ref="L2:L3"/>
    <mergeCell ref="M2:M3"/>
    <mergeCell ref="N2:N3"/>
    <mergeCell ref="E5:F5"/>
    <mergeCell ref="C17:D17"/>
    <mergeCell ref="E17:F17"/>
    <mergeCell ref="Q10:Q15"/>
    <mergeCell ref="E11:F11"/>
  </mergeCells>
  <printOptions horizontalCentered="1"/>
  <pageMargins left="0.5" right="0.5" top="1" bottom="0.75" header="0" footer="0.5"/>
  <pageSetup paperSize="5" orientation="landscape" horizontalDpi="1200" verticalDpi="1200" r:id="rId1"/>
  <headerFooter>
    <oddFooter>&amp;LSDGE 2020 WMP - &amp;A&amp;C&amp;P&amp;R&amp;D</oddFooter>
  </headerFooter>
  <rowBreaks count="1" manualBreakCount="1">
    <brk id="15"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24C9-7E3C-485F-9B5E-B991746381DB}">
  <sheetPr>
    <pageSetUpPr fitToPage="1"/>
  </sheetPr>
  <dimension ref="A1:Q6"/>
  <sheetViews>
    <sheetView view="pageLayout" topLeftCell="A25" zoomScaleNormal="100" zoomScaleSheetLayoutView="98" workbookViewId="0">
      <selection activeCell="M36" sqref="M36"/>
    </sheetView>
  </sheetViews>
  <sheetFormatPr defaultRowHeight="14.4" x14ac:dyDescent="0.3"/>
  <cols>
    <col min="2" max="2" width="5.33203125" customWidth="1"/>
    <col min="3" max="6" width="7.5546875" customWidth="1"/>
    <col min="8" max="8" width="10.6640625" customWidth="1"/>
    <col min="17" max="17" width="6.6640625" customWidth="1"/>
  </cols>
  <sheetData>
    <row r="1" spans="1:17" ht="18" x14ac:dyDescent="0.35">
      <c r="A1" s="322" t="s">
        <v>811</v>
      </c>
      <c r="B1" s="323"/>
      <c r="C1" s="323"/>
      <c r="D1" s="323"/>
      <c r="E1" s="323"/>
      <c r="F1" s="323"/>
      <c r="G1" s="323"/>
      <c r="H1" s="323"/>
      <c r="I1" s="323"/>
      <c r="J1" s="323"/>
      <c r="K1" s="323"/>
      <c r="L1" s="323"/>
      <c r="M1" s="323"/>
      <c r="N1" s="323"/>
      <c r="O1" s="323"/>
      <c r="P1" s="323"/>
      <c r="Q1" s="326"/>
    </row>
    <row r="2" spans="1:17" ht="52.5" customHeight="1" x14ac:dyDescent="0.3">
      <c r="A2" s="617" t="s">
        <v>600</v>
      </c>
      <c r="B2" s="617" t="s">
        <v>291</v>
      </c>
      <c r="C2" s="617" t="s">
        <v>601</v>
      </c>
      <c r="D2" s="617"/>
      <c r="E2" s="617" t="s">
        <v>602</v>
      </c>
      <c r="F2" s="617"/>
      <c r="G2" s="617" t="s">
        <v>603</v>
      </c>
      <c r="H2" s="617" t="s">
        <v>604</v>
      </c>
      <c r="I2" s="617" t="s">
        <v>605</v>
      </c>
      <c r="J2" s="617" t="s">
        <v>606</v>
      </c>
      <c r="K2" s="617" t="s">
        <v>607</v>
      </c>
      <c r="L2" s="617" t="s">
        <v>608</v>
      </c>
      <c r="M2" s="617" t="s">
        <v>609</v>
      </c>
      <c r="N2" s="617" t="s">
        <v>610</v>
      </c>
      <c r="O2" s="617" t="s">
        <v>611</v>
      </c>
      <c r="P2" s="617" t="s">
        <v>612</v>
      </c>
      <c r="Q2" s="617" t="s">
        <v>33</v>
      </c>
    </row>
    <row r="3" spans="1:17" x14ac:dyDescent="0.3">
      <c r="A3" s="617"/>
      <c r="B3" s="617"/>
      <c r="C3" s="97" t="s">
        <v>613</v>
      </c>
      <c r="D3" s="97" t="s">
        <v>614</v>
      </c>
      <c r="E3" s="97" t="s">
        <v>613</v>
      </c>
      <c r="F3" s="97" t="s">
        <v>614</v>
      </c>
      <c r="G3" s="617"/>
      <c r="H3" s="617"/>
      <c r="I3" s="617"/>
      <c r="J3" s="617"/>
      <c r="K3" s="617"/>
      <c r="L3" s="617"/>
      <c r="M3" s="617"/>
      <c r="N3" s="617"/>
      <c r="O3" s="617"/>
      <c r="P3" s="617"/>
      <c r="Q3" s="617"/>
    </row>
    <row r="4" spans="1:17" x14ac:dyDescent="0.3">
      <c r="A4" s="600" t="s">
        <v>812</v>
      </c>
      <c r="B4" s="600"/>
      <c r="C4" s="600"/>
      <c r="D4" s="600"/>
      <c r="E4" s="600"/>
      <c r="F4" s="600"/>
      <c r="G4" s="600"/>
      <c r="H4" s="600"/>
      <c r="I4" s="600"/>
      <c r="J4" s="600"/>
      <c r="K4" s="600"/>
      <c r="L4" s="600"/>
      <c r="M4" s="600"/>
      <c r="N4" s="600"/>
      <c r="O4" s="600"/>
      <c r="P4" s="600"/>
      <c r="Q4" s="600"/>
    </row>
    <row r="5" spans="1:17" x14ac:dyDescent="0.3">
      <c r="A5" s="600"/>
      <c r="B5" s="600"/>
      <c r="C5" s="600"/>
      <c r="D5" s="600"/>
      <c r="E5" s="600"/>
      <c r="F5" s="600"/>
      <c r="G5" s="600"/>
      <c r="H5" s="600"/>
      <c r="I5" s="600"/>
      <c r="J5" s="600"/>
      <c r="K5" s="600"/>
      <c r="L5" s="600"/>
      <c r="M5" s="600"/>
      <c r="N5" s="600"/>
      <c r="O5" s="600"/>
      <c r="P5" s="600"/>
      <c r="Q5" s="600"/>
    </row>
    <row r="6" spans="1:17" x14ac:dyDescent="0.3">
      <c r="A6" s="600"/>
      <c r="B6" s="600"/>
      <c r="C6" s="600"/>
      <c r="D6" s="600"/>
      <c r="E6" s="600"/>
      <c r="F6" s="600"/>
      <c r="G6" s="600"/>
      <c r="H6" s="600"/>
      <c r="I6" s="600"/>
      <c r="J6" s="600"/>
      <c r="K6" s="600"/>
      <c r="L6" s="600"/>
      <c r="M6" s="600"/>
      <c r="N6" s="600"/>
      <c r="O6" s="600"/>
      <c r="P6" s="600"/>
      <c r="Q6" s="600"/>
    </row>
  </sheetData>
  <mergeCells count="16">
    <mergeCell ref="O2:O3"/>
    <mergeCell ref="P2:P3"/>
    <mergeCell ref="Q2:Q3"/>
    <mergeCell ref="A4:Q6"/>
    <mergeCell ref="I2:I3"/>
    <mergeCell ref="J2:J3"/>
    <mergeCell ref="K2:K3"/>
    <mergeCell ref="L2:L3"/>
    <mergeCell ref="M2:M3"/>
    <mergeCell ref="N2:N3"/>
    <mergeCell ref="A2:A3"/>
    <mergeCell ref="B2:B3"/>
    <mergeCell ref="C2:D2"/>
    <mergeCell ref="E2:F2"/>
    <mergeCell ref="G2:G3"/>
    <mergeCell ref="H2:H3"/>
  </mergeCells>
  <pageMargins left="0.7" right="0.7" top="0.75" bottom="0.75" header="0.3" footer="0.3"/>
  <pageSetup scale="86" fitToHeight="0" orientation="landscape" r:id="rId1"/>
  <headerFooter>
    <oddFooter>&amp;LSDGE 2020 WMP - &amp;A&amp;C&amp;P&amp;R&amp;D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03F4-7292-4984-8797-BE2A9757013D}">
  <dimension ref="A1:L22"/>
  <sheetViews>
    <sheetView view="pageLayout" zoomScaleNormal="100" workbookViewId="0">
      <selection activeCell="Z36" sqref="Z36"/>
    </sheetView>
  </sheetViews>
  <sheetFormatPr defaultRowHeight="14.4" x14ac:dyDescent="0.3"/>
  <cols>
    <col min="1" max="1" width="23.6640625" customWidth="1"/>
    <col min="2" max="2" width="28.5546875" customWidth="1"/>
  </cols>
  <sheetData>
    <row r="1" spans="1:12" ht="27" customHeight="1" x14ac:dyDescent="0.3">
      <c r="A1" s="623" t="s">
        <v>813</v>
      </c>
      <c r="B1" s="624"/>
      <c r="C1" s="624"/>
      <c r="D1" s="624"/>
      <c r="E1" s="624"/>
      <c r="F1" s="624"/>
      <c r="G1" s="624"/>
      <c r="H1" s="624"/>
      <c r="I1" s="624"/>
      <c r="J1" s="624"/>
      <c r="K1" s="624"/>
      <c r="L1" s="625"/>
    </row>
    <row r="2" spans="1:12" ht="80.25" customHeight="1" x14ac:dyDescent="0.3">
      <c r="A2" s="469" t="s">
        <v>422</v>
      </c>
      <c r="B2" s="229"/>
      <c r="C2" s="16" t="s">
        <v>423</v>
      </c>
      <c r="D2" s="440" t="s">
        <v>424</v>
      </c>
      <c r="E2" s="441"/>
      <c r="F2" s="442"/>
      <c r="G2" s="440" t="s">
        <v>425</v>
      </c>
      <c r="H2" s="441"/>
      <c r="I2" s="441"/>
      <c r="J2" s="440" t="s">
        <v>814</v>
      </c>
      <c r="K2" s="441"/>
      <c r="L2" s="442"/>
    </row>
    <row r="3" spans="1:12" x14ac:dyDescent="0.3">
      <c r="A3" s="470"/>
      <c r="B3" s="440"/>
      <c r="C3" s="442"/>
      <c r="D3" s="225">
        <v>2020</v>
      </c>
      <c r="E3" s="225">
        <v>2021</v>
      </c>
      <c r="F3" s="225">
        <v>2022</v>
      </c>
      <c r="G3" s="225">
        <v>2020</v>
      </c>
      <c r="H3" s="225">
        <v>2021</v>
      </c>
      <c r="I3" s="225">
        <v>2022</v>
      </c>
      <c r="J3" s="225">
        <v>2020</v>
      </c>
      <c r="K3" s="225">
        <v>2021</v>
      </c>
      <c r="L3" s="225">
        <v>2022</v>
      </c>
    </row>
    <row r="4" spans="1:12" x14ac:dyDescent="0.3">
      <c r="A4" s="469" t="s">
        <v>428</v>
      </c>
      <c r="B4" s="229" t="s">
        <v>429</v>
      </c>
      <c r="C4" s="225" t="s">
        <v>430</v>
      </c>
      <c r="D4" s="98" t="s">
        <v>26</v>
      </c>
      <c r="E4" s="98" t="s">
        <v>26</v>
      </c>
      <c r="F4" s="98" t="s">
        <v>26</v>
      </c>
      <c r="G4" s="98" t="s">
        <v>26</v>
      </c>
      <c r="H4" s="98" t="s">
        <v>26</v>
      </c>
      <c r="I4" s="98" t="s">
        <v>26</v>
      </c>
      <c r="J4" s="98" t="s">
        <v>26</v>
      </c>
      <c r="K4" s="98" t="s">
        <v>26</v>
      </c>
      <c r="L4" s="98" t="s">
        <v>26</v>
      </c>
    </row>
    <row r="5" spans="1:12" x14ac:dyDescent="0.3">
      <c r="A5" s="492"/>
      <c r="B5" s="229" t="s">
        <v>431</v>
      </c>
      <c r="C5" s="225" t="s">
        <v>430</v>
      </c>
      <c r="D5" s="98" t="s">
        <v>26</v>
      </c>
      <c r="E5" s="98" t="s">
        <v>26</v>
      </c>
      <c r="F5" s="98" t="s">
        <v>26</v>
      </c>
      <c r="G5" s="98" t="s">
        <v>26</v>
      </c>
      <c r="H5" s="98" t="s">
        <v>26</v>
      </c>
      <c r="I5" s="98" t="s">
        <v>26</v>
      </c>
      <c r="J5" s="98" t="s">
        <v>26</v>
      </c>
      <c r="K5" s="98" t="s">
        <v>26</v>
      </c>
      <c r="L5" s="98" t="s">
        <v>26</v>
      </c>
    </row>
    <row r="6" spans="1:12" x14ac:dyDescent="0.3">
      <c r="A6" s="492"/>
      <c r="B6" s="229" t="s">
        <v>432</v>
      </c>
      <c r="C6" s="225" t="s">
        <v>430</v>
      </c>
      <c r="D6" s="98" t="s">
        <v>26</v>
      </c>
      <c r="E6" s="98" t="s">
        <v>26</v>
      </c>
      <c r="F6" s="98" t="s">
        <v>26</v>
      </c>
      <c r="G6" s="98" t="s">
        <v>26</v>
      </c>
      <c r="H6" s="98" t="s">
        <v>26</v>
      </c>
      <c r="I6" s="98" t="s">
        <v>26</v>
      </c>
      <c r="J6" s="98" t="s">
        <v>26</v>
      </c>
      <c r="K6" s="98" t="s">
        <v>26</v>
      </c>
      <c r="L6" s="98" t="s">
        <v>26</v>
      </c>
    </row>
    <row r="7" spans="1:12" x14ac:dyDescent="0.3">
      <c r="A7" s="492"/>
      <c r="B7" s="229" t="s">
        <v>433</v>
      </c>
      <c r="C7" s="225" t="s">
        <v>430</v>
      </c>
      <c r="D7" s="98" t="s">
        <v>26</v>
      </c>
      <c r="E7" s="98" t="s">
        <v>26</v>
      </c>
      <c r="F7" s="98" t="s">
        <v>26</v>
      </c>
      <c r="G7" s="98" t="s">
        <v>26</v>
      </c>
      <c r="H7" s="98" t="s">
        <v>26</v>
      </c>
      <c r="I7" s="98" t="s">
        <v>26</v>
      </c>
      <c r="J7" s="98" t="s">
        <v>26</v>
      </c>
      <c r="K7" s="98" t="s">
        <v>26</v>
      </c>
      <c r="L7" s="98" t="s">
        <v>26</v>
      </c>
    </row>
    <row r="8" spans="1:12" x14ac:dyDescent="0.3">
      <c r="A8" s="492"/>
      <c r="B8" s="229" t="s">
        <v>434</v>
      </c>
      <c r="C8" s="225" t="s">
        <v>430</v>
      </c>
      <c r="D8" s="98" t="s">
        <v>26</v>
      </c>
      <c r="E8" s="98" t="s">
        <v>26</v>
      </c>
      <c r="F8" s="98" t="s">
        <v>26</v>
      </c>
      <c r="G8" s="98" t="s">
        <v>26</v>
      </c>
      <c r="H8" s="98" t="s">
        <v>26</v>
      </c>
      <c r="I8" s="98" t="s">
        <v>26</v>
      </c>
      <c r="J8" s="98" t="s">
        <v>26</v>
      </c>
      <c r="K8" s="98" t="s">
        <v>26</v>
      </c>
      <c r="L8" s="98" t="s">
        <v>26</v>
      </c>
    </row>
    <row r="9" spans="1:12" ht="14.4" customHeight="1" x14ac:dyDescent="0.3">
      <c r="A9" s="469" t="s">
        <v>435</v>
      </c>
      <c r="B9" s="229" t="s">
        <v>436</v>
      </c>
      <c r="C9" s="225" t="s">
        <v>430</v>
      </c>
      <c r="D9" s="98" t="s">
        <v>26</v>
      </c>
      <c r="E9" s="98" t="s">
        <v>26</v>
      </c>
      <c r="F9" s="98" t="s">
        <v>26</v>
      </c>
      <c r="G9" s="98" t="s">
        <v>26</v>
      </c>
      <c r="H9" s="98" t="s">
        <v>26</v>
      </c>
      <c r="I9" s="98" t="s">
        <v>26</v>
      </c>
      <c r="J9" s="98" t="s">
        <v>26</v>
      </c>
      <c r="K9" s="98" t="s">
        <v>26</v>
      </c>
      <c r="L9" s="98" t="s">
        <v>26</v>
      </c>
    </row>
    <row r="10" spans="1:12" x14ac:dyDescent="0.3">
      <c r="A10" s="492"/>
      <c r="B10" s="229" t="s">
        <v>437</v>
      </c>
      <c r="C10" s="225" t="s">
        <v>430</v>
      </c>
      <c r="D10" s="98" t="s">
        <v>26</v>
      </c>
      <c r="E10" s="98" t="s">
        <v>26</v>
      </c>
      <c r="F10" s="98" t="s">
        <v>26</v>
      </c>
      <c r="G10" s="98" t="s">
        <v>26</v>
      </c>
      <c r="H10" s="98" t="s">
        <v>26</v>
      </c>
      <c r="I10" s="98" t="s">
        <v>26</v>
      </c>
      <c r="J10" s="98" t="s">
        <v>26</v>
      </c>
      <c r="K10" s="98" t="s">
        <v>26</v>
      </c>
      <c r="L10" s="98" t="s">
        <v>26</v>
      </c>
    </row>
    <row r="11" spans="1:12" x14ac:dyDescent="0.3">
      <c r="A11" s="492"/>
      <c r="B11" s="229" t="s">
        <v>438</v>
      </c>
      <c r="C11" s="225" t="s">
        <v>430</v>
      </c>
      <c r="D11" s="98" t="s">
        <v>26</v>
      </c>
      <c r="E11" s="98" t="s">
        <v>26</v>
      </c>
      <c r="F11" s="98" t="s">
        <v>26</v>
      </c>
      <c r="G11" s="98" t="s">
        <v>26</v>
      </c>
      <c r="H11" s="98" t="s">
        <v>26</v>
      </c>
      <c r="I11" s="98" t="s">
        <v>26</v>
      </c>
      <c r="J11" s="98" t="s">
        <v>26</v>
      </c>
      <c r="K11" s="98" t="s">
        <v>26</v>
      </c>
      <c r="L11" s="98" t="s">
        <v>26</v>
      </c>
    </row>
    <row r="12" spans="1:12" ht="28.8" x14ac:dyDescent="0.3">
      <c r="A12" s="492"/>
      <c r="B12" s="229" t="s">
        <v>439</v>
      </c>
      <c r="C12" s="225" t="s">
        <v>430</v>
      </c>
      <c r="D12" s="98" t="s">
        <v>26</v>
      </c>
      <c r="E12" s="98" t="s">
        <v>26</v>
      </c>
      <c r="F12" s="98" t="s">
        <v>26</v>
      </c>
      <c r="G12" s="98" t="s">
        <v>26</v>
      </c>
      <c r="H12" s="98" t="s">
        <v>26</v>
      </c>
      <c r="I12" s="98" t="s">
        <v>26</v>
      </c>
      <c r="J12" s="98" t="s">
        <v>26</v>
      </c>
      <c r="K12" s="98" t="s">
        <v>26</v>
      </c>
      <c r="L12" s="98" t="s">
        <v>26</v>
      </c>
    </row>
    <row r="13" spans="1:12" x14ac:dyDescent="0.3">
      <c r="A13" s="492"/>
      <c r="B13" s="229" t="s">
        <v>440</v>
      </c>
      <c r="C13" s="225" t="s">
        <v>430</v>
      </c>
      <c r="D13" s="98" t="s">
        <v>26</v>
      </c>
      <c r="E13" s="98" t="s">
        <v>26</v>
      </c>
      <c r="F13" s="98" t="s">
        <v>26</v>
      </c>
      <c r="G13" s="98" t="s">
        <v>26</v>
      </c>
      <c r="H13" s="98" t="s">
        <v>26</v>
      </c>
      <c r="I13" s="98" t="s">
        <v>26</v>
      </c>
      <c r="J13" s="98" t="s">
        <v>26</v>
      </c>
      <c r="K13" s="98" t="s">
        <v>26</v>
      </c>
      <c r="L13" s="98" t="s">
        <v>26</v>
      </c>
    </row>
    <row r="14" spans="1:12" ht="28.8" x14ac:dyDescent="0.3">
      <c r="A14" s="492"/>
      <c r="B14" s="229" t="s">
        <v>441</v>
      </c>
      <c r="C14" s="225" t="s">
        <v>430</v>
      </c>
      <c r="D14" s="98" t="s">
        <v>26</v>
      </c>
      <c r="E14" s="98" t="s">
        <v>26</v>
      </c>
      <c r="F14" s="98" t="s">
        <v>26</v>
      </c>
      <c r="G14" s="98" t="s">
        <v>26</v>
      </c>
      <c r="H14" s="98" t="s">
        <v>26</v>
      </c>
      <c r="I14" s="98" t="s">
        <v>26</v>
      </c>
      <c r="J14" s="98" t="s">
        <v>26</v>
      </c>
      <c r="K14" s="98" t="s">
        <v>26</v>
      </c>
      <c r="L14" s="98" t="s">
        <v>26</v>
      </c>
    </row>
    <row r="15" spans="1:12" x14ac:dyDescent="0.3">
      <c r="A15" s="492"/>
      <c r="B15" s="229" t="s">
        <v>442</v>
      </c>
      <c r="C15" s="225" t="s">
        <v>430</v>
      </c>
      <c r="D15" s="98" t="s">
        <v>26</v>
      </c>
      <c r="E15" s="98" t="s">
        <v>26</v>
      </c>
      <c r="F15" s="98" t="s">
        <v>26</v>
      </c>
      <c r="G15" s="98" t="s">
        <v>26</v>
      </c>
      <c r="H15" s="98" t="s">
        <v>26</v>
      </c>
      <c r="I15" s="98" t="s">
        <v>26</v>
      </c>
      <c r="J15" s="98" t="s">
        <v>26</v>
      </c>
      <c r="K15" s="98" t="s">
        <v>26</v>
      </c>
      <c r="L15" s="98" t="s">
        <v>26</v>
      </c>
    </row>
    <row r="16" spans="1:12" x14ac:dyDescent="0.3">
      <c r="A16" s="492"/>
      <c r="B16" s="229" t="s">
        <v>443</v>
      </c>
      <c r="C16" s="225" t="s">
        <v>430</v>
      </c>
      <c r="D16" s="98" t="s">
        <v>26</v>
      </c>
      <c r="E16" s="98" t="s">
        <v>26</v>
      </c>
      <c r="F16" s="98" t="s">
        <v>26</v>
      </c>
      <c r="G16" s="98" t="s">
        <v>26</v>
      </c>
      <c r="H16" s="98" t="s">
        <v>26</v>
      </c>
      <c r="I16" s="98" t="s">
        <v>26</v>
      </c>
      <c r="J16" s="98" t="s">
        <v>26</v>
      </c>
      <c r="K16" s="98" t="s">
        <v>26</v>
      </c>
      <c r="L16" s="98" t="s">
        <v>26</v>
      </c>
    </row>
    <row r="17" spans="1:12" x14ac:dyDescent="0.3">
      <c r="A17" s="492"/>
      <c r="B17" s="229" t="s">
        <v>444</v>
      </c>
      <c r="C17" s="225" t="s">
        <v>430</v>
      </c>
      <c r="D17" s="98" t="s">
        <v>26</v>
      </c>
      <c r="E17" s="98" t="s">
        <v>26</v>
      </c>
      <c r="F17" s="98" t="s">
        <v>26</v>
      </c>
      <c r="G17" s="98" t="s">
        <v>26</v>
      </c>
      <c r="H17" s="98" t="s">
        <v>26</v>
      </c>
      <c r="I17" s="98" t="s">
        <v>26</v>
      </c>
      <c r="J17" s="98" t="s">
        <v>26</v>
      </c>
      <c r="K17" s="98" t="s">
        <v>26</v>
      </c>
      <c r="L17" s="98" t="s">
        <v>26</v>
      </c>
    </row>
    <row r="18" spans="1:12" x14ac:dyDescent="0.3">
      <c r="A18" s="470"/>
      <c r="B18" s="229" t="s">
        <v>445</v>
      </c>
      <c r="C18" s="225" t="s">
        <v>430</v>
      </c>
      <c r="D18" s="98" t="s">
        <v>26</v>
      </c>
      <c r="E18" s="98" t="s">
        <v>26</v>
      </c>
      <c r="F18" s="98" t="s">
        <v>26</v>
      </c>
      <c r="G18" s="98" t="s">
        <v>26</v>
      </c>
      <c r="H18" s="98" t="s">
        <v>26</v>
      </c>
      <c r="I18" s="98" t="s">
        <v>26</v>
      </c>
      <c r="J18" s="98" t="s">
        <v>26</v>
      </c>
      <c r="K18" s="98" t="s">
        <v>26</v>
      </c>
      <c r="L18" s="98" t="s">
        <v>26</v>
      </c>
    </row>
    <row r="19" spans="1:12" ht="28.95" customHeight="1" x14ac:dyDescent="0.3">
      <c r="A19" s="440" t="s">
        <v>446</v>
      </c>
      <c r="B19" s="442"/>
      <c r="C19" s="225" t="s">
        <v>430</v>
      </c>
      <c r="D19" s="98" t="s">
        <v>26</v>
      </c>
      <c r="E19" s="98" t="s">
        <v>26</v>
      </c>
      <c r="F19" s="98" t="s">
        <v>26</v>
      </c>
      <c r="G19" s="98" t="s">
        <v>26</v>
      </c>
      <c r="H19" s="98" t="s">
        <v>26</v>
      </c>
      <c r="I19" s="98" t="s">
        <v>26</v>
      </c>
      <c r="J19" s="98" t="s">
        <v>26</v>
      </c>
      <c r="K19" s="98" t="s">
        <v>26</v>
      </c>
      <c r="L19" s="98" t="s">
        <v>26</v>
      </c>
    </row>
    <row r="20" spans="1:12" x14ac:dyDescent="0.3">
      <c r="A20" s="440" t="s">
        <v>447</v>
      </c>
      <c r="B20" s="442"/>
      <c r="C20" s="225" t="s">
        <v>430</v>
      </c>
      <c r="D20" s="98" t="s">
        <v>26</v>
      </c>
      <c r="E20" s="98" t="s">
        <v>26</v>
      </c>
      <c r="F20" s="98" t="s">
        <v>26</v>
      </c>
      <c r="G20" s="98" t="s">
        <v>26</v>
      </c>
      <c r="H20" s="98" t="s">
        <v>26</v>
      </c>
      <c r="I20" s="98" t="s">
        <v>26</v>
      </c>
      <c r="J20" s="98" t="s">
        <v>26</v>
      </c>
      <c r="K20" s="98" t="s">
        <v>26</v>
      </c>
      <c r="L20" s="98" t="s">
        <v>26</v>
      </c>
    </row>
    <row r="21" spans="1:12" x14ac:dyDescent="0.3">
      <c r="A21" s="440" t="s">
        <v>296</v>
      </c>
      <c r="B21" s="442"/>
      <c r="C21" s="229"/>
      <c r="D21" s="40"/>
      <c r="E21" s="40"/>
      <c r="F21" s="40"/>
      <c r="G21" s="41"/>
      <c r="H21" s="41"/>
      <c r="I21" s="41"/>
      <c r="J21" s="40"/>
      <c r="K21" s="40"/>
      <c r="L21" s="40"/>
    </row>
    <row r="22" spans="1:12" x14ac:dyDescent="0.3">
      <c r="A22" s="435"/>
      <c r="B22" s="436"/>
      <c r="C22" s="436"/>
      <c r="D22" s="436"/>
      <c r="E22" s="436"/>
      <c r="F22" s="436"/>
      <c r="G22" s="436"/>
      <c r="H22" s="436"/>
      <c r="I22" s="436"/>
      <c r="J22" s="330"/>
      <c r="K22" s="330"/>
      <c r="L22" s="331"/>
    </row>
  </sheetData>
  <mergeCells count="12">
    <mergeCell ref="A22:I22"/>
    <mergeCell ref="D2:F2"/>
    <mergeCell ref="G2:I2"/>
    <mergeCell ref="J2:L2"/>
    <mergeCell ref="A2:A3"/>
    <mergeCell ref="B3:C3"/>
    <mergeCell ref="A4:A8"/>
    <mergeCell ref="A1:L1"/>
    <mergeCell ref="A19:B19"/>
    <mergeCell ref="A20:B20"/>
    <mergeCell ref="A21:B21"/>
    <mergeCell ref="A9:A18"/>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04E8-4FD0-4B4E-A950-C6FE42FF836B}">
  <dimension ref="A1:M42"/>
  <sheetViews>
    <sheetView view="pageLayout" topLeftCell="B37" zoomScaleNormal="70" zoomScaleSheetLayoutView="40" workbookViewId="0">
      <selection activeCell="I5" sqref="I5"/>
    </sheetView>
  </sheetViews>
  <sheetFormatPr defaultRowHeight="14.4" x14ac:dyDescent="0.3"/>
  <cols>
    <col min="1" max="1" width="72.33203125" customWidth="1"/>
    <col min="2" max="2" width="16.88671875" style="143" customWidth="1"/>
    <col min="3" max="3" width="25.6640625" style="143" customWidth="1"/>
    <col min="4" max="4" width="38.6640625" customWidth="1"/>
    <col min="5" max="5" width="12.6640625" style="115" customWidth="1"/>
  </cols>
  <sheetData>
    <row r="1" spans="1:13" ht="18" x14ac:dyDescent="0.35">
      <c r="A1" s="261" t="s">
        <v>208</v>
      </c>
      <c r="B1" s="262"/>
      <c r="C1" s="262"/>
      <c r="D1" s="263"/>
      <c r="E1" s="263"/>
    </row>
    <row r="2" spans="1:13" ht="42" customHeight="1" x14ac:dyDescent="0.3">
      <c r="A2" s="225" t="s">
        <v>209</v>
      </c>
      <c r="B2" s="225" t="s">
        <v>210</v>
      </c>
      <c r="C2" s="225" t="s">
        <v>166</v>
      </c>
      <c r="D2" s="225" t="s">
        <v>168</v>
      </c>
      <c r="E2" s="225" t="s">
        <v>167</v>
      </c>
    </row>
    <row r="3" spans="1:13" s="114" customFormat="1" x14ac:dyDescent="0.3">
      <c r="A3" s="159" t="s">
        <v>211</v>
      </c>
      <c r="B3" s="125">
        <v>137</v>
      </c>
      <c r="C3" s="226" t="s">
        <v>212</v>
      </c>
      <c r="D3" s="406" t="s">
        <v>213</v>
      </c>
      <c r="E3" s="249" t="s">
        <v>26</v>
      </c>
      <c r="G3" s="8"/>
      <c r="H3" s="130"/>
      <c r="I3" s="130"/>
      <c r="J3" s="130"/>
      <c r="K3" s="130"/>
      <c r="L3" s="130"/>
      <c r="M3" s="131"/>
    </row>
    <row r="4" spans="1:13" s="114" customFormat="1" ht="27.6" x14ac:dyDescent="0.3">
      <c r="A4" s="17" t="s">
        <v>214</v>
      </c>
      <c r="B4" s="250">
        <v>137</v>
      </c>
      <c r="C4" s="108" t="s">
        <v>212</v>
      </c>
      <c r="D4" s="406"/>
      <c r="E4" s="250" t="s">
        <v>26</v>
      </c>
      <c r="G4" s="132"/>
      <c r="H4" s="132"/>
      <c r="I4" s="132"/>
      <c r="J4" s="132"/>
      <c r="K4" s="132"/>
      <c r="L4" s="132"/>
    </row>
    <row r="5" spans="1:13" s="114" customFormat="1" ht="27.6" x14ac:dyDescent="0.3">
      <c r="A5" s="159" t="s">
        <v>215</v>
      </c>
      <c r="B5" s="125">
        <v>137</v>
      </c>
      <c r="C5" s="226" t="s">
        <v>212</v>
      </c>
      <c r="D5" s="406"/>
      <c r="E5" s="249" t="s">
        <v>26</v>
      </c>
    </row>
    <row r="6" spans="1:13" s="114" customFormat="1" ht="41.4" x14ac:dyDescent="0.3">
      <c r="A6" s="17" t="s">
        <v>216</v>
      </c>
      <c r="B6" s="250">
        <v>137</v>
      </c>
      <c r="C6" s="108" t="s">
        <v>212</v>
      </c>
      <c r="D6" s="406"/>
      <c r="E6" s="250" t="s">
        <v>26</v>
      </c>
    </row>
    <row r="7" spans="1:13" s="114" customFormat="1" x14ac:dyDescent="0.3">
      <c r="A7" s="159" t="s">
        <v>217</v>
      </c>
      <c r="B7" s="125">
        <v>279</v>
      </c>
      <c r="C7" s="226" t="s">
        <v>218</v>
      </c>
      <c r="D7" s="148"/>
      <c r="E7" s="249" t="s">
        <v>26</v>
      </c>
    </row>
    <row r="8" spans="1:13" s="114" customFormat="1" x14ac:dyDescent="0.3">
      <c r="A8" s="17" t="s">
        <v>217</v>
      </c>
      <c r="B8" s="126">
        <v>220453</v>
      </c>
      <c r="C8" s="108" t="s">
        <v>219</v>
      </c>
      <c r="D8" s="9"/>
      <c r="E8" s="250" t="s">
        <v>26</v>
      </c>
    </row>
    <row r="9" spans="1:13" s="114" customFormat="1" x14ac:dyDescent="0.3">
      <c r="A9" s="159" t="s">
        <v>220</v>
      </c>
      <c r="B9" s="125">
        <v>511</v>
      </c>
      <c r="C9" s="226" t="s">
        <v>221</v>
      </c>
      <c r="D9" s="148"/>
      <c r="E9" s="249" t="s">
        <v>26</v>
      </c>
    </row>
    <row r="10" spans="1:13" s="114" customFormat="1" x14ac:dyDescent="0.3">
      <c r="A10" s="17" t="s">
        <v>222</v>
      </c>
      <c r="B10" s="126">
        <v>10000</v>
      </c>
      <c r="C10" s="108" t="s">
        <v>223</v>
      </c>
      <c r="D10" s="9"/>
      <c r="E10" s="250" t="s">
        <v>26</v>
      </c>
    </row>
    <row r="11" spans="1:13" s="114" customFormat="1" x14ac:dyDescent="0.3">
      <c r="A11" s="159" t="s">
        <v>224</v>
      </c>
      <c r="B11" s="127">
        <v>47850</v>
      </c>
      <c r="C11" s="226" t="s">
        <v>223</v>
      </c>
      <c r="D11" s="148"/>
      <c r="E11" s="249" t="s">
        <v>26</v>
      </c>
    </row>
    <row r="12" spans="1:13" s="114" customFormat="1" x14ac:dyDescent="0.3">
      <c r="A12" s="17" t="s">
        <v>225</v>
      </c>
      <c r="B12" s="250">
        <v>301</v>
      </c>
      <c r="C12" s="108" t="s">
        <v>226</v>
      </c>
      <c r="D12" s="9"/>
      <c r="E12" s="250" t="s">
        <v>26</v>
      </c>
    </row>
    <row r="13" spans="1:13" s="114" customFormat="1" x14ac:dyDescent="0.3">
      <c r="A13" s="159" t="s">
        <v>227</v>
      </c>
      <c r="B13" s="127">
        <v>6730</v>
      </c>
      <c r="C13" s="226" t="s">
        <v>228</v>
      </c>
      <c r="D13" s="148"/>
      <c r="E13" s="249" t="s">
        <v>26</v>
      </c>
    </row>
    <row r="14" spans="1:13" s="114" customFormat="1" x14ac:dyDescent="0.3">
      <c r="A14" s="17" t="s">
        <v>229</v>
      </c>
      <c r="B14" s="250">
        <v>10</v>
      </c>
      <c r="C14" s="108" t="s">
        <v>230</v>
      </c>
      <c r="D14" s="9"/>
      <c r="E14" s="250" t="s">
        <v>26</v>
      </c>
    </row>
    <row r="15" spans="1:13" s="114" customFormat="1" x14ac:dyDescent="0.3">
      <c r="A15" s="159" t="s">
        <v>231</v>
      </c>
      <c r="B15" s="125">
        <v>83</v>
      </c>
      <c r="C15" s="226" t="s">
        <v>230</v>
      </c>
      <c r="D15" s="148"/>
      <c r="E15" s="249" t="s">
        <v>26</v>
      </c>
    </row>
    <row r="16" spans="1:13" s="114" customFormat="1" x14ac:dyDescent="0.3">
      <c r="A16" s="17" t="s">
        <v>232</v>
      </c>
      <c r="B16" s="250">
        <v>2.6</v>
      </c>
      <c r="C16" s="108" t="s">
        <v>233</v>
      </c>
      <c r="D16" s="9"/>
      <c r="E16" s="250" t="s">
        <v>26</v>
      </c>
    </row>
    <row r="17" spans="1:5" s="114" customFormat="1" x14ac:dyDescent="0.3">
      <c r="A17" s="159" t="s">
        <v>234</v>
      </c>
      <c r="B17" s="125">
        <v>61</v>
      </c>
      <c r="C17" s="226" t="s">
        <v>230</v>
      </c>
      <c r="D17" s="148"/>
      <c r="E17" s="249" t="s">
        <v>26</v>
      </c>
    </row>
    <row r="18" spans="1:5" s="114" customFormat="1" x14ac:dyDescent="0.3">
      <c r="A18" s="17" t="s">
        <v>235</v>
      </c>
      <c r="B18" s="250">
        <v>82</v>
      </c>
      <c r="C18" s="108" t="s">
        <v>236</v>
      </c>
      <c r="D18" s="9"/>
      <c r="E18" s="250" t="s">
        <v>26</v>
      </c>
    </row>
    <row r="19" spans="1:5" s="114" customFormat="1" x14ac:dyDescent="0.3">
      <c r="A19" s="159" t="s">
        <v>237</v>
      </c>
      <c r="B19" s="125">
        <v>695</v>
      </c>
      <c r="C19" s="226" t="s">
        <v>238</v>
      </c>
      <c r="D19" s="148"/>
      <c r="E19" s="249" t="s">
        <v>26</v>
      </c>
    </row>
    <row r="20" spans="1:5" s="114" customFormat="1" x14ac:dyDescent="0.3">
      <c r="A20" s="17" t="s">
        <v>239</v>
      </c>
      <c r="B20" s="250">
        <v>2490</v>
      </c>
      <c r="C20" s="108" t="s">
        <v>240</v>
      </c>
      <c r="D20" s="9"/>
      <c r="E20" s="250" t="s">
        <v>26</v>
      </c>
    </row>
    <row r="21" spans="1:5" s="114" customFormat="1" x14ac:dyDescent="0.3">
      <c r="A21" s="159" t="s">
        <v>241</v>
      </c>
      <c r="B21" s="125">
        <v>660</v>
      </c>
      <c r="C21" s="226" t="s">
        <v>242</v>
      </c>
      <c r="D21" s="148"/>
      <c r="E21" s="249" t="s">
        <v>26</v>
      </c>
    </row>
    <row r="22" spans="1:5" s="114" customFormat="1" x14ac:dyDescent="0.3">
      <c r="A22" s="17" t="s">
        <v>243</v>
      </c>
      <c r="B22" s="250">
        <v>5.7</v>
      </c>
      <c r="C22" s="108" t="s">
        <v>244</v>
      </c>
      <c r="D22" s="9"/>
      <c r="E22" s="250" t="s">
        <v>26</v>
      </c>
    </row>
    <row r="23" spans="1:5" s="114" customFormat="1" x14ac:dyDescent="0.3">
      <c r="A23" s="159" t="s">
        <v>245</v>
      </c>
      <c r="B23" s="125">
        <v>8</v>
      </c>
      <c r="C23" s="226" t="s">
        <v>246</v>
      </c>
      <c r="D23" s="148"/>
      <c r="E23" s="249" t="s">
        <v>26</v>
      </c>
    </row>
    <row r="24" spans="1:5" s="114" customFormat="1" x14ac:dyDescent="0.3">
      <c r="A24" s="17" t="s">
        <v>247</v>
      </c>
      <c r="B24" s="250">
        <v>7</v>
      </c>
      <c r="C24" s="108" t="s">
        <v>248</v>
      </c>
      <c r="D24" s="9"/>
      <c r="E24" s="250" t="s">
        <v>26</v>
      </c>
    </row>
    <row r="25" spans="1:5" s="114" customFormat="1" ht="27.6" x14ac:dyDescent="0.3">
      <c r="A25" s="159" t="s">
        <v>249</v>
      </c>
      <c r="B25" s="125">
        <v>725</v>
      </c>
      <c r="C25" s="226" t="s">
        <v>250</v>
      </c>
      <c r="D25" s="148"/>
      <c r="E25" s="249" t="s">
        <v>26</v>
      </c>
    </row>
    <row r="26" spans="1:5" s="114" customFormat="1" ht="27.6" x14ac:dyDescent="0.3">
      <c r="A26" s="17" t="s">
        <v>251</v>
      </c>
      <c r="B26" s="250">
        <v>9</v>
      </c>
      <c r="C26" s="108" t="s">
        <v>252</v>
      </c>
      <c r="D26" s="9"/>
      <c r="E26" s="250" t="s">
        <v>26</v>
      </c>
    </row>
    <row r="27" spans="1:5" s="114" customFormat="1" ht="56.4" customHeight="1" x14ac:dyDescent="0.3">
      <c r="A27" s="226" t="s">
        <v>253</v>
      </c>
      <c r="B27" s="125">
        <v>79</v>
      </c>
      <c r="C27" s="226" t="s">
        <v>254</v>
      </c>
      <c r="D27" s="148" t="s">
        <v>255</v>
      </c>
      <c r="E27" s="249"/>
    </row>
    <row r="28" spans="1:5" s="114" customFormat="1" x14ac:dyDescent="0.3">
      <c r="A28" s="17" t="s">
        <v>256</v>
      </c>
      <c r="B28" s="126">
        <v>455000</v>
      </c>
      <c r="C28" s="108" t="s">
        <v>257</v>
      </c>
      <c r="D28" s="9"/>
      <c r="E28" s="250"/>
    </row>
    <row r="29" spans="1:5" s="114" customFormat="1" ht="27.6" x14ac:dyDescent="0.3">
      <c r="A29" s="159" t="s">
        <v>258</v>
      </c>
      <c r="B29" s="125">
        <v>28</v>
      </c>
      <c r="C29" s="226" t="s">
        <v>259</v>
      </c>
      <c r="D29" s="148"/>
      <c r="E29" s="249"/>
    </row>
    <row r="30" spans="1:5" s="114" customFormat="1" x14ac:dyDescent="0.3">
      <c r="A30" s="17" t="s">
        <v>260</v>
      </c>
      <c r="B30" s="128">
        <v>0.8</v>
      </c>
      <c r="C30" s="108" t="s">
        <v>261</v>
      </c>
      <c r="D30" s="9"/>
      <c r="E30" s="250"/>
    </row>
    <row r="31" spans="1:5" s="114" customFormat="1" x14ac:dyDescent="0.3">
      <c r="A31" s="159" t="s">
        <v>262</v>
      </c>
      <c r="B31" s="125">
        <v>9884</v>
      </c>
      <c r="C31" s="226" t="s">
        <v>263</v>
      </c>
      <c r="D31" s="148"/>
      <c r="E31" s="249"/>
    </row>
    <row r="32" spans="1:5" s="114" customFormat="1" x14ac:dyDescent="0.3">
      <c r="A32" s="17" t="s">
        <v>264</v>
      </c>
      <c r="B32" s="250">
        <v>260</v>
      </c>
      <c r="C32" s="108" t="s">
        <v>265</v>
      </c>
      <c r="D32" s="9"/>
      <c r="E32" s="250"/>
    </row>
    <row r="33" spans="1:5" s="114" customFormat="1" x14ac:dyDescent="0.3">
      <c r="A33" s="159" t="s">
        <v>266</v>
      </c>
      <c r="B33" s="129">
        <v>1</v>
      </c>
      <c r="C33" s="226" t="s">
        <v>261</v>
      </c>
      <c r="D33" s="148"/>
      <c r="E33" s="249"/>
    </row>
    <row r="34" spans="1:5" s="114" customFormat="1" x14ac:dyDescent="0.3">
      <c r="A34" s="17" t="s">
        <v>267</v>
      </c>
      <c r="B34" s="128">
        <v>1</v>
      </c>
      <c r="C34" s="108" t="s">
        <v>261</v>
      </c>
      <c r="D34" s="9"/>
      <c r="E34" s="250"/>
    </row>
    <row r="35" spans="1:5" s="114" customFormat="1" x14ac:dyDescent="0.3">
      <c r="A35" s="159" t="s">
        <v>268</v>
      </c>
      <c r="B35" s="125">
        <v>0</v>
      </c>
      <c r="C35" s="226" t="s">
        <v>269</v>
      </c>
      <c r="D35" s="148"/>
      <c r="E35" s="249"/>
    </row>
    <row r="36" spans="1:5" s="114" customFormat="1" x14ac:dyDescent="0.3">
      <c r="A36" s="17" t="s">
        <v>270</v>
      </c>
      <c r="B36" s="250">
        <v>191</v>
      </c>
      <c r="C36" s="108" t="s">
        <v>271</v>
      </c>
      <c r="D36" s="9"/>
      <c r="E36" s="250"/>
    </row>
    <row r="37" spans="1:5" s="114" customFormat="1" x14ac:dyDescent="0.3">
      <c r="A37" s="159" t="s">
        <v>272</v>
      </c>
      <c r="B37" s="125">
        <v>29</v>
      </c>
      <c r="C37" s="226" t="s">
        <v>273</v>
      </c>
      <c r="D37" s="148"/>
      <c r="E37" s="249"/>
    </row>
    <row r="38" spans="1:5" s="114" customFormat="1" ht="27.6" x14ac:dyDescent="0.3">
      <c r="A38" s="17" t="s">
        <v>274</v>
      </c>
      <c r="B38" s="250">
        <v>594</v>
      </c>
      <c r="C38" s="108" t="s">
        <v>275</v>
      </c>
      <c r="D38" s="9"/>
      <c r="E38" s="250"/>
    </row>
    <row r="39" spans="1:5" s="114" customFormat="1" x14ac:dyDescent="0.3">
      <c r="A39" s="159" t="s">
        <v>276</v>
      </c>
      <c r="B39" s="125">
        <v>13</v>
      </c>
      <c r="C39" s="226" t="s">
        <v>277</v>
      </c>
      <c r="D39" s="148"/>
      <c r="E39" s="249"/>
    </row>
    <row r="40" spans="1:5" s="114" customFormat="1" ht="27.6" x14ac:dyDescent="0.3">
      <c r="A40" s="17" t="s">
        <v>278</v>
      </c>
      <c r="B40" s="250">
        <v>105</v>
      </c>
      <c r="C40" s="108" t="s">
        <v>279</v>
      </c>
      <c r="D40" s="9"/>
      <c r="E40" s="250"/>
    </row>
    <row r="41" spans="1:5" s="114" customFormat="1" ht="27.6" x14ac:dyDescent="0.3">
      <c r="A41" s="159" t="s">
        <v>280</v>
      </c>
      <c r="B41" s="125">
        <v>3</v>
      </c>
      <c r="C41" s="226" t="s">
        <v>281</v>
      </c>
      <c r="D41" s="148"/>
      <c r="E41" s="249"/>
    </row>
    <row r="42" spans="1:5" s="114" customFormat="1" ht="27.6" x14ac:dyDescent="0.3">
      <c r="A42" s="108" t="s">
        <v>282</v>
      </c>
      <c r="B42" s="250">
        <v>5</v>
      </c>
      <c r="C42" s="108" t="s">
        <v>283</v>
      </c>
      <c r="D42" s="9"/>
      <c r="E42" s="250"/>
    </row>
  </sheetData>
  <mergeCells count="1">
    <mergeCell ref="D3:D6"/>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0945-4A50-488D-AF6D-CA893D88FF05}">
  <dimension ref="A1:R11"/>
  <sheetViews>
    <sheetView view="pageLayout" topLeftCell="A13" zoomScaleNormal="100" zoomScaleSheetLayoutView="100" workbookViewId="0">
      <selection activeCell="E16" sqref="E16"/>
    </sheetView>
  </sheetViews>
  <sheetFormatPr defaultRowHeight="14.4" x14ac:dyDescent="0.3"/>
  <cols>
    <col min="1" max="1" width="26.33203125" customWidth="1"/>
    <col min="2" max="16" width="7.5546875" customWidth="1"/>
    <col min="17" max="17" width="8.6640625" customWidth="1"/>
  </cols>
  <sheetData>
    <row r="1" spans="1:18" ht="18" x14ac:dyDescent="0.35">
      <c r="A1" s="407" t="s">
        <v>284</v>
      </c>
      <c r="B1" s="408"/>
      <c r="C1" s="408"/>
      <c r="D1" s="408"/>
      <c r="E1" s="408"/>
      <c r="F1" s="408"/>
      <c r="G1" s="408"/>
      <c r="H1" s="408"/>
      <c r="I1" s="408"/>
      <c r="J1" s="408"/>
      <c r="K1" s="408"/>
      <c r="L1" s="408"/>
      <c r="M1" s="408"/>
      <c r="N1" s="408"/>
      <c r="O1" s="408"/>
      <c r="P1" s="408"/>
      <c r="Q1" s="409"/>
    </row>
    <row r="2" spans="1:18" x14ac:dyDescent="0.3">
      <c r="A2" s="410" t="s">
        <v>285</v>
      </c>
      <c r="B2" s="413" t="s">
        <v>286</v>
      </c>
      <c r="C2" s="413"/>
      <c r="D2" s="413"/>
      <c r="E2" s="413"/>
      <c r="F2" s="413"/>
      <c r="G2" s="413"/>
      <c r="H2" s="413"/>
      <c r="I2" s="413"/>
      <c r="J2" s="413"/>
      <c r="K2" s="413"/>
      <c r="L2" s="413"/>
      <c r="M2" s="413"/>
      <c r="N2" s="413"/>
      <c r="O2" s="413"/>
      <c r="P2" s="413"/>
      <c r="Q2" s="410" t="s">
        <v>287</v>
      </c>
    </row>
    <row r="3" spans="1:18" x14ac:dyDescent="0.3">
      <c r="A3" s="411"/>
      <c r="B3" s="413" t="s">
        <v>288</v>
      </c>
      <c r="C3" s="413"/>
      <c r="D3" s="413"/>
      <c r="E3" s="413"/>
      <c r="F3" s="413"/>
      <c r="G3" s="413" t="s">
        <v>289</v>
      </c>
      <c r="H3" s="413"/>
      <c r="I3" s="413"/>
      <c r="J3" s="413"/>
      <c r="K3" s="413"/>
      <c r="L3" s="413" t="s">
        <v>290</v>
      </c>
      <c r="M3" s="413"/>
      <c r="N3" s="413"/>
      <c r="O3" s="413"/>
      <c r="P3" s="413"/>
      <c r="Q3" s="412"/>
    </row>
    <row r="4" spans="1:18" x14ac:dyDescent="0.3">
      <c r="A4" s="264" t="s">
        <v>291</v>
      </c>
      <c r="B4" s="227">
        <v>2015</v>
      </c>
      <c r="C4" s="227">
        <v>2016</v>
      </c>
      <c r="D4" s="227">
        <v>2017</v>
      </c>
      <c r="E4" s="227">
        <v>2018</v>
      </c>
      <c r="F4" s="227">
        <v>2019</v>
      </c>
      <c r="G4" s="227">
        <v>2015</v>
      </c>
      <c r="H4" s="227">
        <v>2016</v>
      </c>
      <c r="I4" s="227">
        <v>2017</v>
      </c>
      <c r="J4" s="227">
        <v>2018</v>
      </c>
      <c r="K4" s="227">
        <v>2019</v>
      </c>
      <c r="L4" s="227">
        <v>2015</v>
      </c>
      <c r="M4" s="227">
        <v>2016</v>
      </c>
      <c r="N4" s="227">
        <v>2017</v>
      </c>
      <c r="O4" s="227">
        <v>2018</v>
      </c>
      <c r="P4" s="227">
        <v>2019</v>
      </c>
      <c r="Q4" s="411"/>
    </row>
    <row r="5" spans="1:18" ht="19.95" customHeight="1" x14ac:dyDescent="0.3">
      <c r="A5" s="265" t="s">
        <v>292</v>
      </c>
      <c r="B5" s="249">
        <v>0</v>
      </c>
      <c r="C5" s="249">
        <v>0</v>
      </c>
      <c r="D5" s="249">
        <v>0</v>
      </c>
      <c r="E5" s="249">
        <v>0</v>
      </c>
      <c r="F5" s="249">
        <v>0</v>
      </c>
      <c r="G5" s="249">
        <v>0</v>
      </c>
      <c r="H5" s="249">
        <v>0</v>
      </c>
      <c r="I5" s="249">
        <v>0</v>
      </c>
      <c r="J5" s="249"/>
      <c r="K5" s="249"/>
      <c r="L5" s="249">
        <v>0</v>
      </c>
      <c r="M5" s="249">
        <v>0</v>
      </c>
      <c r="N5" s="249">
        <v>0</v>
      </c>
      <c r="O5" s="249">
        <v>0</v>
      </c>
      <c r="P5" s="249">
        <v>0</v>
      </c>
      <c r="Q5" s="249">
        <v>0</v>
      </c>
    </row>
    <row r="6" spans="1:18" ht="19.95" customHeight="1" x14ac:dyDescent="0.3">
      <c r="A6" s="265" t="s">
        <v>293</v>
      </c>
      <c r="B6" s="250">
        <v>0</v>
      </c>
      <c r="C6" s="250">
        <v>0</v>
      </c>
      <c r="D6" s="250">
        <v>0</v>
      </c>
      <c r="E6" s="250">
        <v>0</v>
      </c>
      <c r="F6" s="250">
        <v>0</v>
      </c>
      <c r="G6" s="160">
        <v>1</v>
      </c>
      <c r="H6" s="250">
        <v>0</v>
      </c>
      <c r="I6" s="250">
        <v>0</v>
      </c>
      <c r="J6" s="250">
        <v>0</v>
      </c>
      <c r="K6" s="250">
        <v>0</v>
      </c>
      <c r="L6" s="250">
        <v>0</v>
      </c>
      <c r="M6" s="250">
        <v>0</v>
      </c>
      <c r="N6" s="250">
        <v>0</v>
      </c>
      <c r="O6" s="250">
        <v>0</v>
      </c>
      <c r="P6" s="250">
        <v>0</v>
      </c>
      <c r="Q6" s="160">
        <v>1</v>
      </c>
      <c r="R6" s="7"/>
    </row>
    <row r="7" spans="1:18" ht="19.95" customHeight="1" x14ac:dyDescent="0.3">
      <c r="A7" s="265" t="s">
        <v>294</v>
      </c>
      <c r="B7" s="249">
        <v>0</v>
      </c>
      <c r="C7" s="249">
        <v>0</v>
      </c>
      <c r="D7" s="249">
        <v>0</v>
      </c>
      <c r="E7" s="249">
        <v>0</v>
      </c>
      <c r="F7" s="249">
        <v>0</v>
      </c>
      <c r="G7" s="249">
        <v>0</v>
      </c>
      <c r="H7" s="249">
        <v>0</v>
      </c>
      <c r="I7" s="249">
        <v>0</v>
      </c>
      <c r="J7" s="249">
        <v>0</v>
      </c>
      <c r="K7" s="249">
        <v>0</v>
      </c>
      <c r="L7" s="249">
        <v>0</v>
      </c>
      <c r="M7" s="249">
        <v>0</v>
      </c>
      <c r="N7" s="249">
        <v>0</v>
      </c>
      <c r="O7" s="249">
        <v>0</v>
      </c>
      <c r="P7" s="249">
        <v>0</v>
      </c>
      <c r="Q7" s="249">
        <v>0</v>
      </c>
    </row>
    <row r="8" spans="1:18" ht="19.95" customHeight="1" x14ac:dyDescent="0.3">
      <c r="A8" s="265" t="s">
        <v>295</v>
      </c>
      <c r="B8" s="250">
        <v>0</v>
      </c>
      <c r="C8" s="250">
        <v>0</v>
      </c>
      <c r="D8" s="250">
        <v>0</v>
      </c>
      <c r="E8" s="250">
        <v>0</v>
      </c>
      <c r="F8" s="250">
        <v>0</v>
      </c>
      <c r="G8" s="250">
        <v>0</v>
      </c>
      <c r="H8" s="250">
        <v>0</v>
      </c>
      <c r="I8" s="250">
        <v>0</v>
      </c>
      <c r="J8" s="250">
        <v>0</v>
      </c>
      <c r="K8" s="250">
        <v>0</v>
      </c>
      <c r="L8" s="250">
        <v>0</v>
      </c>
      <c r="M8" s="250">
        <v>0</v>
      </c>
      <c r="N8" s="250">
        <v>0</v>
      </c>
      <c r="O8" s="250">
        <v>0</v>
      </c>
      <c r="P8" s="250">
        <v>0</v>
      </c>
      <c r="Q8" s="250">
        <v>0</v>
      </c>
    </row>
    <row r="9" spans="1:18" ht="19.95" customHeight="1" x14ac:dyDescent="0.3">
      <c r="A9" s="265" t="s">
        <v>296</v>
      </c>
      <c r="B9" s="249">
        <v>0</v>
      </c>
      <c r="C9" s="249">
        <v>0</v>
      </c>
      <c r="D9" s="249">
        <v>0</v>
      </c>
      <c r="E9" s="249">
        <v>0</v>
      </c>
      <c r="F9" s="249">
        <v>0</v>
      </c>
      <c r="G9" s="249">
        <v>0</v>
      </c>
      <c r="H9" s="249">
        <v>0</v>
      </c>
      <c r="I9" s="249">
        <v>0</v>
      </c>
      <c r="J9" s="249">
        <v>0</v>
      </c>
      <c r="K9" s="249">
        <v>0</v>
      </c>
      <c r="L9" s="249">
        <v>0</v>
      </c>
      <c r="M9" s="249">
        <v>0</v>
      </c>
      <c r="N9" s="249">
        <v>0</v>
      </c>
      <c r="O9" s="249">
        <v>0</v>
      </c>
      <c r="P9" s="249">
        <v>0</v>
      </c>
      <c r="Q9" s="249">
        <v>0</v>
      </c>
    </row>
    <row r="10" spans="1:18" ht="19.95" customHeight="1" x14ac:dyDescent="0.3">
      <c r="A10" s="265" t="s">
        <v>287</v>
      </c>
      <c r="B10" s="250">
        <v>0</v>
      </c>
      <c r="C10" s="250">
        <v>0</v>
      </c>
      <c r="D10" s="250">
        <v>0</v>
      </c>
      <c r="E10" s="250">
        <v>0</v>
      </c>
      <c r="F10" s="250">
        <v>0</v>
      </c>
      <c r="G10" s="250">
        <v>0</v>
      </c>
      <c r="H10" s="250">
        <v>0</v>
      </c>
      <c r="I10" s="250">
        <v>0</v>
      </c>
      <c r="J10" s="250">
        <v>0</v>
      </c>
      <c r="K10" s="250">
        <v>0</v>
      </c>
      <c r="L10" s="250">
        <v>0</v>
      </c>
      <c r="M10" s="250">
        <v>0</v>
      </c>
      <c r="N10" s="250">
        <v>0</v>
      </c>
      <c r="O10" s="250">
        <v>0</v>
      </c>
      <c r="P10" s="250">
        <v>0</v>
      </c>
      <c r="Q10" s="160">
        <v>1</v>
      </c>
    </row>
    <row r="11" spans="1:18" x14ac:dyDescent="0.3">
      <c r="A11" s="13"/>
    </row>
  </sheetData>
  <mergeCells count="7">
    <mergeCell ref="A1:Q1"/>
    <mergeCell ref="A2:A3"/>
    <mergeCell ref="Q2:Q4"/>
    <mergeCell ref="B2:P2"/>
    <mergeCell ref="B3:F3"/>
    <mergeCell ref="G3:K3"/>
    <mergeCell ref="L3:P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032F-609B-493E-B769-BC46F9F56958}">
  <dimension ref="A1:R11"/>
  <sheetViews>
    <sheetView view="pageLayout" topLeftCell="A19" zoomScaleNormal="100" zoomScaleSheetLayoutView="100" workbookViewId="0">
      <selection sqref="A1:Q10"/>
    </sheetView>
  </sheetViews>
  <sheetFormatPr defaultRowHeight="14.4" x14ac:dyDescent="0.3"/>
  <cols>
    <col min="1" max="1" width="26.6640625" customWidth="1"/>
    <col min="2" max="5" width="8.5546875" style="115" customWidth="1"/>
    <col min="6" max="6" width="8.33203125" style="115" customWidth="1"/>
    <col min="7" max="7" width="8.5546875" style="115" customWidth="1"/>
    <col min="8" max="8" width="8.44140625" style="115" customWidth="1"/>
    <col min="9" max="9" width="8.109375" style="115" customWidth="1"/>
    <col min="10" max="10" width="8.33203125" style="115" customWidth="1"/>
    <col min="11" max="11" width="8.6640625" style="115" customWidth="1"/>
    <col min="12" max="12" width="8.88671875" style="115" customWidth="1"/>
    <col min="13" max="13" width="8.6640625" style="115" customWidth="1"/>
    <col min="14" max="14" width="8.44140625" style="115" customWidth="1"/>
    <col min="15" max="15" width="8.5546875" style="115" customWidth="1"/>
    <col min="16" max="16" width="9.44140625" style="115" customWidth="1"/>
    <col min="17" max="17" width="8.5546875" style="115" customWidth="1"/>
  </cols>
  <sheetData>
    <row r="1" spans="1:18" ht="18" x14ac:dyDescent="0.35">
      <c r="A1" s="414" t="s">
        <v>297</v>
      </c>
      <c r="B1" s="415"/>
      <c r="C1" s="415"/>
      <c r="D1" s="415"/>
      <c r="E1" s="415"/>
      <c r="F1" s="415"/>
      <c r="G1" s="415"/>
      <c r="H1" s="415"/>
      <c r="I1" s="415"/>
      <c r="J1" s="415"/>
      <c r="K1" s="415"/>
      <c r="L1" s="415"/>
      <c r="M1" s="415"/>
      <c r="N1" s="415"/>
      <c r="O1" s="415"/>
      <c r="P1" s="415"/>
      <c r="Q1" s="416"/>
    </row>
    <row r="2" spans="1:18" x14ac:dyDescent="0.3">
      <c r="A2" s="410" t="s">
        <v>285</v>
      </c>
      <c r="B2" s="413" t="s">
        <v>286</v>
      </c>
      <c r="C2" s="413"/>
      <c r="D2" s="413"/>
      <c r="E2" s="413"/>
      <c r="F2" s="413"/>
      <c r="G2" s="413"/>
      <c r="H2" s="413"/>
      <c r="I2" s="413"/>
      <c r="J2" s="413"/>
      <c r="K2" s="413"/>
      <c r="L2" s="413"/>
      <c r="M2" s="413"/>
      <c r="N2" s="413"/>
      <c r="O2" s="413"/>
      <c r="P2" s="413"/>
      <c r="Q2" s="410" t="s">
        <v>287</v>
      </c>
    </row>
    <row r="3" spans="1:18" x14ac:dyDescent="0.3">
      <c r="A3" s="411"/>
      <c r="B3" s="413" t="s">
        <v>288</v>
      </c>
      <c r="C3" s="413"/>
      <c r="D3" s="413"/>
      <c r="E3" s="413"/>
      <c r="F3" s="413"/>
      <c r="G3" s="413" t="s">
        <v>289</v>
      </c>
      <c r="H3" s="413"/>
      <c r="I3" s="413"/>
      <c r="J3" s="413"/>
      <c r="K3" s="413"/>
      <c r="L3" s="413" t="s">
        <v>290</v>
      </c>
      <c r="M3" s="413"/>
      <c r="N3" s="413"/>
      <c r="O3" s="413"/>
      <c r="P3" s="413"/>
      <c r="Q3" s="412"/>
    </row>
    <row r="4" spans="1:18" x14ac:dyDescent="0.3">
      <c r="A4" s="264" t="s">
        <v>291</v>
      </c>
      <c r="B4" s="227">
        <v>2015</v>
      </c>
      <c r="C4" s="227">
        <v>2016</v>
      </c>
      <c r="D4" s="227">
        <v>2017</v>
      </c>
      <c r="E4" s="227">
        <v>2018</v>
      </c>
      <c r="F4" s="227">
        <v>2019</v>
      </c>
      <c r="G4" s="227">
        <v>2015</v>
      </c>
      <c r="H4" s="227">
        <v>2016</v>
      </c>
      <c r="I4" s="227">
        <v>2017</v>
      </c>
      <c r="J4" s="227">
        <v>2018</v>
      </c>
      <c r="K4" s="227">
        <v>2019</v>
      </c>
      <c r="L4" s="227">
        <v>2015</v>
      </c>
      <c r="M4" s="227">
        <v>2016</v>
      </c>
      <c r="N4" s="227">
        <v>2017</v>
      </c>
      <c r="O4" s="227">
        <v>2018</v>
      </c>
      <c r="P4" s="227">
        <v>2019</v>
      </c>
      <c r="Q4" s="411"/>
    </row>
    <row r="5" spans="1:18" ht="16.95" customHeight="1" x14ac:dyDescent="0.3">
      <c r="A5" s="265" t="s">
        <v>292</v>
      </c>
      <c r="B5" s="249">
        <v>0</v>
      </c>
      <c r="C5" s="249">
        <v>0</v>
      </c>
      <c r="D5" s="249">
        <v>0</v>
      </c>
      <c r="E5" s="249">
        <v>0</v>
      </c>
      <c r="F5" s="249">
        <v>0</v>
      </c>
      <c r="G5" s="249">
        <v>0</v>
      </c>
      <c r="H5" s="249">
        <v>0</v>
      </c>
      <c r="I5" s="249">
        <v>0</v>
      </c>
      <c r="J5" s="249">
        <v>0</v>
      </c>
      <c r="K5" s="249">
        <v>0</v>
      </c>
      <c r="L5" s="249">
        <v>0</v>
      </c>
      <c r="M5" s="249">
        <v>0</v>
      </c>
      <c r="N5" s="249">
        <v>0</v>
      </c>
      <c r="O5" s="249">
        <v>0</v>
      </c>
      <c r="P5" s="249">
        <v>0</v>
      </c>
      <c r="Q5" s="249">
        <v>0</v>
      </c>
    </row>
    <row r="6" spans="1:18" ht="16.95" customHeight="1" x14ac:dyDescent="0.3">
      <c r="A6" s="265" t="s">
        <v>293</v>
      </c>
      <c r="B6" s="250">
        <v>0</v>
      </c>
      <c r="C6" s="250">
        <v>0</v>
      </c>
      <c r="D6" s="250">
        <v>0</v>
      </c>
      <c r="E6" s="250">
        <v>0</v>
      </c>
      <c r="F6" s="250">
        <v>0</v>
      </c>
      <c r="G6" s="161">
        <v>0</v>
      </c>
      <c r="H6" s="161">
        <v>1</v>
      </c>
      <c r="I6" s="161">
        <v>0</v>
      </c>
      <c r="J6" s="161">
        <v>0</v>
      </c>
      <c r="K6" s="161">
        <v>0</v>
      </c>
      <c r="L6" s="250">
        <v>0</v>
      </c>
      <c r="M6" s="250">
        <v>0</v>
      </c>
      <c r="N6" s="250">
        <v>0</v>
      </c>
      <c r="O6" s="250">
        <v>0</v>
      </c>
      <c r="P6" s="250">
        <v>0</v>
      </c>
      <c r="Q6" s="161">
        <v>1</v>
      </c>
      <c r="R6" s="7"/>
    </row>
    <row r="7" spans="1:18" ht="16.95" customHeight="1" x14ac:dyDescent="0.3">
      <c r="A7" s="265" t="s">
        <v>294</v>
      </c>
      <c r="B7" s="249">
        <v>0</v>
      </c>
      <c r="C7" s="249">
        <v>0</v>
      </c>
      <c r="D7" s="249">
        <v>0</v>
      </c>
      <c r="E7" s="249">
        <v>0</v>
      </c>
      <c r="F7" s="249">
        <v>0</v>
      </c>
      <c r="G7" s="249">
        <v>0</v>
      </c>
      <c r="H7" s="249">
        <v>0</v>
      </c>
      <c r="I7" s="249">
        <v>0</v>
      </c>
      <c r="J7" s="249">
        <v>0</v>
      </c>
      <c r="K7" s="249">
        <v>0</v>
      </c>
      <c r="L7" s="249">
        <v>0</v>
      </c>
      <c r="M7" s="249">
        <v>0</v>
      </c>
      <c r="N7" s="249">
        <v>0</v>
      </c>
      <c r="O7" s="249">
        <v>0</v>
      </c>
      <c r="P7" s="249">
        <v>0</v>
      </c>
      <c r="Q7" s="249">
        <v>0</v>
      </c>
    </row>
    <row r="8" spans="1:18" ht="16.95" customHeight="1" x14ac:dyDescent="0.3">
      <c r="A8" s="265" t="s">
        <v>295</v>
      </c>
      <c r="B8" s="250">
        <v>0</v>
      </c>
      <c r="C8" s="250">
        <v>0</v>
      </c>
      <c r="D8" s="250">
        <v>0</v>
      </c>
      <c r="E8" s="250">
        <v>0</v>
      </c>
      <c r="F8" s="250">
        <v>0</v>
      </c>
      <c r="G8" s="250">
        <v>0</v>
      </c>
      <c r="H8" s="250">
        <v>0</v>
      </c>
      <c r="I8" s="250">
        <v>0</v>
      </c>
      <c r="J8" s="250">
        <v>0</v>
      </c>
      <c r="K8" s="250">
        <v>0</v>
      </c>
      <c r="L8" s="250">
        <v>0</v>
      </c>
      <c r="M8" s="250">
        <v>0</v>
      </c>
      <c r="N8" s="250">
        <v>0</v>
      </c>
      <c r="O8" s="250">
        <v>0</v>
      </c>
      <c r="P8" s="250">
        <v>0</v>
      </c>
      <c r="Q8" s="250">
        <v>0</v>
      </c>
    </row>
    <row r="9" spans="1:18" ht="16.95" customHeight="1" x14ac:dyDescent="0.3">
      <c r="A9" s="265" t="s">
        <v>296</v>
      </c>
      <c r="B9" s="249">
        <v>0</v>
      </c>
      <c r="C9" s="249">
        <v>0</v>
      </c>
      <c r="D9" s="249">
        <v>0</v>
      </c>
      <c r="E9" s="249">
        <v>0</v>
      </c>
      <c r="F9" s="249">
        <v>0</v>
      </c>
      <c r="G9" s="249">
        <v>0</v>
      </c>
      <c r="H9" s="249">
        <v>0</v>
      </c>
      <c r="I9" s="249">
        <v>0</v>
      </c>
      <c r="J9" s="249">
        <v>0</v>
      </c>
      <c r="K9" s="249">
        <v>0</v>
      </c>
      <c r="L9" s="249">
        <v>0</v>
      </c>
      <c r="M9" s="249">
        <v>0</v>
      </c>
      <c r="N9" s="249">
        <v>0</v>
      </c>
      <c r="O9" s="249">
        <v>0</v>
      </c>
      <c r="P9" s="249">
        <v>0</v>
      </c>
      <c r="Q9" s="249">
        <v>0</v>
      </c>
    </row>
    <row r="10" spans="1:18" ht="16.95" customHeight="1" x14ac:dyDescent="0.3">
      <c r="A10" s="265" t="s">
        <v>287</v>
      </c>
      <c r="B10" s="250">
        <v>0</v>
      </c>
      <c r="C10" s="250">
        <v>0</v>
      </c>
      <c r="D10" s="250">
        <v>0</v>
      </c>
      <c r="E10" s="250">
        <v>0</v>
      </c>
      <c r="F10" s="250">
        <v>0</v>
      </c>
      <c r="G10" s="250">
        <v>0</v>
      </c>
      <c r="H10" s="168">
        <v>1</v>
      </c>
      <c r="I10" s="250">
        <v>0</v>
      </c>
      <c r="J10" s="250">
        <v>0</v>
      </c>
      <c r="K10" s="250">
        <v>0</v>
      </c>
      <c r="L10" s="250">
        <v>0</v>
      </c>
      <c r="M10" s="250">
        <v>0</v>
      </c>
      <c r="N10" s="250">
        <v>0</v>
      </c>
      <c r="O10" s="250">
        <v>0</v>
      </c>
      <c r="P10" s="250">
        <v>0</v>
      </c>
      <c r="Q10" s="266">
        <v>1</v>
      </c>
    </row>
    <row r="11" spans="1:18" x14ac:dyDescent="0.3">
      <c r="A11" s="1"/>
    </row>
  </sheetData>
  <mergeCells count="7">
    <mergeCell ref="A1:Q1"/>
    <mergeCell ref="A2:A3"/>
    <mergeCell ref="B2:P2"/>
    <mergeCell ref="Q2:Q4"/>
    <mergeCell ref="B3:F3"/>
    <mergeCell ref="G3:K3"/>
    <mergeCell ref="L3:P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1B33-8F47-420E-85C0-DFE339D9E705}">
  <dimension ref="A1:G25"/>
  <sheetViews>
    <sheetView view="pageLayout" topLeftCell="F13" zoomScaleNormal="100" zoomScaleSheetLayoutView="55" workbookViewId="0">
      <selection activeCell="Q23" sqref="Q23"/>
    </sheetView>
  </sheetViews>
  <sheetFormatPr defaultRowHeight="14.4" x14ac:dyDescent="0.3"/>
  <cols>
    <col min="1" max="1" width="20.33203125" customWidth="1"/>
    <col min="2" max="2" width="15.6640625" style="115" customWidth="1"/>
    <col min="3" max="3" width="26.109375" customWidth="1"/>
    <col min="4" max="4" width="24.33203125" customWidth="1"/>
    <col min="5" max="5" width="20.88671875" customWidth="1"/>
    <col min="6" max="6" width="21.44140625" customWidth="1"/>
    <col min="7" max="7" width="41.44140625" customWidth="1"/>
  </cols>
  <sheetData>
    <row r="1" spans="1:7" ht="18" x14ac:dyDescent="0.35">
      <c r="A1" s="417" t="s">
        <v>298</v>
      </c>
      <c r="B1" s="418"/>
      <c r="C1" s="418"/>
      <c r="D1" s="418"/>
      <c r="E1" s="418"/>
      <c r="F1" s="418"/>
      <c r="G1" s="419"/>
    </row>
    <row r="2" spans="1:7" ht="72.599999999999994" customHeight="1" x14ac:dyDescent="0.3">
      <c r="A2" s="267" t="s">
        <v>299</v>
      </c>
      <c r="B2" s="14" t="s">
        <v>300</v>
      </c>
      <c r="C2" s="137" t="s">
        <v>301</v>
      </c>
      <c r="D2" s="137" t="s">
        <v>302</v>
      </c>
      <c r="E2" s="137" t="s">
        <v>303</v>
      </c>
      <c r="F2" s="137" t="s">
        <v>304</v>
      </c>
      <c r="G2" s="268" t="s">
        <v>33</v>
      </c>
    </row>
    <row r="3" spans="1:7" ht="41.4" x14ac:dyDescent="0.3">
      <c r="A3" s="269" t="s">
        <v>305</v>
      </c>
      <c r="B3" s="133" t="s">
        <v>306</v>
      </c>
      <c r="C3" s="133" t="s">
        <v>307</v>
      </c>
      <c r="D3" s="133" t="s">
        <v>308</v>
      </c>
      <c r="E3" s="133" t="s">
        <v>309</v>
      </c>
      <c r="F3" s="133" t="s">
        <v>310</v>
      </c>
      <c r="G3" s="270" t="s">
        <v>311</v>
      </c>
    </row>
    <row r="4" spans="1:7" ht="27.6" x14ac:dyDescent="0.3">
      <c r="A4" s="271" t="s">
        <v>312</v>
      </c>
      <c r="B4" s="134" t="s">
        <v>306</v>
      </c>
      <c r="C4" s="134" t="s">
        <v>307</v>
      </c>
      <c r="D4" s="134" t="s">
        <v>308</v>
      </c>
      <c r="E4" s="134" t="s">
        <v>309</v>
      </c>
      <c r="F4" s="134" t="s">
        <v>313</v>
      </c>
      <c r="G4" s="272"/>
    </row>
    <row r="5" spans="1:7" ht="27.6" x14ac:dyDescent="0.3">
      <c r="A5" s="269" t="s">
        <v>314</v>
      </c>
      <c r="B5" s="133" t="s">
        <v>306</v>
      </c>
      <c r="C5" s="133" t="s">
        <v>307</v>
      </c>
      <c r="D5" s="133" t="s">
        <v>308</v>
      </c>
      <c r="E5" s="133" t="s">
        <v>309</v>
      </c>
      <c r="F5" s="133" t="s">
        <v>315</v>
      </c>
      <c r="G5" s="270"/>
    </row>
    <row r="6" spans="1:7" ht="27.6" x14ac:dyDescent="0.3">
      <c r="A6" s="271" t="s">
        <v>316</v>
      </c>
      <c r="B6" s="134" t="s">
        <v>306</v>
      </c>
      <c r="C6" s="134" t="s">
        <v>307</v>
      </c>
      <c r="D6" s="134" t="s">
        <v>308</v>
      </c>
      <c r="E6" s="134" t="s">
        <v>309</v>
      </c>
      <c r="F6" s="134" t="s">
        <v>317</v>
      </c>
      <c r="G6" s="272"/>
    </row>
    <row r="7" spans="1:7" ht="27.6" x14ac:dyDescent="0.3">
      <c r="A7" s="269" t="s">
        <v>318</v>
      </c>
      <c r="B7" s="133" t="s">
        <v>319</v>
      </c>
      <c r="C7" s="133" t="s">
        <v>320</v>
      </c>
      <c r="D7" s="133" t="s">
        <v>321</v>
      </c>
      <c r="E7" s="133" t="s">
        <v>322</v>
      </c>
      <c r="F7" s="133" t="s">
        <v>317</v>
      </c>
      <c r="G7" s="270" t="s">
        <v>323</v>
      </c>
    </row>
    <row r="8" spans="1:7" ht="27.6" x14ac:dyDescent="0.3">
      <c r="A8" s="271" t="s">
        <v>324</v>
      </c>
      <c r="B8" s="134" t="s">
        <v>319</v>
      </c>
      <c r="C8" s="134" t="s">
        <v>320</v>
      </c>
      <c r="D8" s="134" t="s">
        <v>321</v>
      </c>
      <c r="E8" s="134" t="s">
        <v>322</v>
      </c>
      <c r="F8" s="134" t="s">
        <v>317</v>
      </c>
      <c r="G8" s="272"/>
    </row>
    <row r="9" spans="1:7" ht="27.6" x14ac:dyDescent="0.3">
      <c r="A9" s="269" t="s">
        <v>325</v>
      </c>
      <c r="B9" s="133" t="s">
        <v>319</v>
      </c>
      <c r="C9" s="133" t="s">
        <v>320</v>
      </c>
      <c r="D9" s="133" t="s">
        <v>321</v>
      </c>
      <c r="E9" s="133" t="s">
        <v>322</v>
      </c>
      <c r="F9" s="133" t="s">
        <v>317</v>
      </c>
      <c r="G9" s="270"/>
    </row>
    <row r="10" spans="1:7" ht="27.6" x14ac:dyDescent="0.3">
      <c r="A10" s="271" t="s">
        <v>326</v>
      </c>
      <c r="B10" s="134" t="s">
        <v>319</v>
      </c>
      <c r="C10" s="134" t="s">
        <v>327</v>
      </c>
      <c r="D10" s="134" t="s">
        <v>328</v>
      </c>
      <c r="E10" s="134" t="s">
        <v>329</v>
      </c>
      <c r="F10" s="134" t="s">
        <v>317</v>
      </c>
      <c r="G10" s="272"/>
    </row>
    <row r="11" spans="1:7" ht="27.6" x14ac:dyDescent="0.3">
      <c r="A11" s="269" t="s">
        <v>330</v>
      </c>
      <c r="B11" s="133" t="s">
        <v>319</v>
      </c>
      <c r="C11" s="133" t="s">
        <v>331</v>
      </c>
      <c r="D11" s="133" t="s">
        <v>328</v>
      </c>
      <c r="E11" s="133" t="s">
        <v>332</v>
      </c>
      <c r="F11" s="133" t="s">
        <v>317</v>
      </c>
      <c r="G11" s="270"/>
    </row>
    <row r="12" spans="1:7" ht="27.6" x14ac:dyDescent="0.3">
      <c r="A12" s="271" t="s">
        <v>333</v>
      </c>
      <c r="B12" s="134" t="s">
        <v>319</v>
      </c>
      <c r="C12" s="134" t="s">
        <v>320</v>
      </c>
      <c r="D12" s="134" t="s">
        <v>334</v>
      </c>
      <c r="E12" s="134" t="s">
        <v>335</v>
      </c>
      <c r="F12" s="134" t="s">
        <v>336</v>
      </c>
      <c r="G12" s="272" t="s">
        <v>337</v>
      </c>
    </row>
    <row r="13" spans="1:7" ht="27.6" x14ac:dyDescent="0.3">
      <c r="A13" s="273" t="s">
        <v>338</v>
      </c>
      <c r="B13" s="135" t="s">
        <v>339</v>
      </c>
      <c r="C13" s="135" t="s">
        <v>340</v>
      </c>
      <c r="D13" s="135" t="s">
        <v>328</v>
      </c>
      <c r="E13" s="135" t="s">
        <v>341</v>
      </c>
      <c r="F13" s="133" t="s">
        <v>342</v>
      </c>
      <c r="G13" s="274"/>
    </row>
    <row r="14" spans="1:7" x14ac:dyDescent="0.3">
      <c r="A14" s="275" t="s">
        <v>343</v>
      </c>
      <c r="B14" s="136" t="s">
        <v>344</v>
      </c>
      <c r="C14" s="136" t="s">
        <v>176</v>
      </c>
      <c r="D14" s="136" t="s">
        <v>328</v>
      </c>
      <c r="E14" s="136" t="s">
        <v>345</v>
      </c>
      <c r="F14" s="136" t="s">
        <v>346</v>
      </c>
      <c r="G14" s="276"/>
    </row>
    <row r="15" spans="1:7" x14ac:dyDescent="0.3">
      <c r="A15" s="273" t="s">
        <v>347</v>
      </c>
      <c r="B15" s="135" t="s">
        <v>344</v>
      </c>
      <c r="C15" s="135" t="s">
        <v>176</v>
      </c>
      <c r="D15" s="135" t="s">
        <v>328</v>
      </c>
      <c r="E15" s="135" t="s">
        <v>345</v>
      </c>
      <c r="F15" s="135" t="s">
        <v>346</v>
      </c>
      <c r="G15" s="274"/>
    </row>
    <row r="16" spans="1:7" ht="27.6" x14ac:dyDescent="0.3">
      <c r="A16" s="275" t="s">
        <v>348</v>
      </c>
      <c r="B16" s="136" t="s">
        <v>339</v>
      </c>
      <c r="C16" s="136" t="s">
        <v>340</v>
      </c>
      <c r="D16" s="136" t="s">
        <v>328</v>
      </c>
      <c r="E16" s="136" t="s">
        <v>341</v>
      </c>
      <c r="F16" s="136" t="s">
        <v>349</v>
      </c>
      <c r="G16" s="276"/>
    </row>
    <row r="17" spans="1:7" x14ac:dyDescent="0.3">
      <c r="A17" s="273" t="s">
        <v>350</v>
      </c>
      <c r="B17" s="135" t="s">
        <v>344</v>
      </c>
      <c r="C17" s="135" t="s">
        <v>340</v>
      </c>
      <c r="D17" s="135" t="s">
        <v>328</v>
      </c>
      <c r="E17" s="135" t="s">
        <v>345</v>
      </c>
      <c r="F17" s="135" t="s">
        <v>346</v>
      </c>
      <c r="G17" s="274"/>
    </row>
    <row r="18" spans="1:7" ht="27.6" x14ac:dyDescent="0.3">
      <c r="A18" s="275" t="s">
        <v>351</v>
      </c>
      <c r="B18" s="136" t="s">
        <v>339</v>
      </c>
      <c r="C18" s="136" t="s">
        <v>340</v>
      </c>
      <c r="D18" s="136" t="s">
        <v>328</v>
      </c>
      <c r="E18" s="136" t="s">
        <v>341</v>
      </c>
      <c r="F18" s="136" t="s">
        <v>352</v>
      </c>
      <c r="G18" s="276"/>
    </row>
    <row r="19" spans="1:7" ht="27.6" x14ac:dyDescent="0.3">
      <c r="A19" s="273" t="s">
        <v>353</v>
      </c>
      <c r="B19" s="135" t="s">
        <v>339</v>
      </c>
      <c r="C19" s="135" t="s">
        <v>340</v>
      </c>
      <c r="D19" s="135" t="s">
        <v>328</v>
      </c>
      <c r="E19" s="135" t="s">
        <v>341</v>
      </c>
      <c r="F19" s="135" t="s">
        <v>354</v>
      </c>
      <c r="G19" s="274"/>
    </row>
    <row r="20" spans="1:7" ht="27.6" x14ac:dyDescent="0.3">
      <c r="A20" s="275" t="s">
        <v>355</v>
      </c>
      <c r="B20" s="136" t="s">
        <v>356</v>
      </c>
      <c r="C20" s="136" t="s">
        <v>357</v>
      </c>
      <c r="D20" s="136" t="s">
        <v>358</v>
      </c>
      <c r="E20" s="136" t="s">
        <v>176</v>
      </c>
      <c r="F20" s="136" t="s">
        <v>359</v>
      </c>
      <c r="G20" s="276"/>
    </row>
    <row r="21" spans="1:7" x14ac:dyDescent="0.3">
      <c r="A21" s="273" t="s">
        <v>360</v>
      </c>
      <c r="B21" s="135" t="s">
        <v>361</v>
      </c>
      <c r="C21" s="135" t="s">
        <v>362</v>
      </c>
      <c r="D21" s="135" t="s">
        <v>176</v>
      </c>
      <c r="E21" s="135" t="s">
        <v>176</v>
      </c>
      <c r="F21" s="135" t="s">
        <v>363</v>
      </c>
      <c r="G21" s="274"/>
    </row>
    <row r="22" spans="1:7" x14ac:dyDescent="0.3">
      <c r="A22" s="277" t="s">
        <v>364</v>
      </c>
      <c r="B22" s="278" t="s">
        <v>365</v>
      </c>
      <c r="C22" s="278" t="s">
        <v>176</v>
      </c>
      <c r="D22" s="278" t="s">
        <v>366</v>
      </c>
      <c r="E22" s="278" t="s">
        <v>176</v>
      </c>
      <c r="F22" s="278" t="s">
        <v>367</v>
      </c>
      <c r="G22" s="279"/>
    </row>
    <row r="23" spans="1:7" x14ac:dyDescent="0.3">
      <c r="A23" s="3"/>
      <c r="B23" s="162"/>
      <c r="C23" s="3"/>
      <c r="D23" s="3"/>
      <c r="E23" s="163"/>
      <c r="F23" s="3"/>
      <c r="G23" s="3"/>
    </row>
    <row r="24" spans="1:7" x14ac:dyDescent="0.3">
      <c r="A24" s="3"/>
      <c r="B24" s="162"/>
      <c r="C24" s="3"/>
      <c r="D24" s="3"/>
      <c r="E24" s="3"/>
      <c r="F24" s="3"/>
      <c r="G24" s="3"/>
    </row>
    <row r="25" spans="1:7" x14ac:dyDescent="0.3">
      <c r="A25" s="1"/>
    </row>
  </sheetData>
  <mergeCells count="1">
    <mergeCell ref="A1:G1"/>
  </mergeCells>
  <printOptions horizontalCentered="1"/>
  <pageMargins left="0.5" right="0.5" top="1" bottom="0.75" header="0" footer="0.5"/>
  <pageSetup paperSize="5" scale="82" orientation="landscape" horizontalDpi="1200" verticalDpi="1200" r:id="rId1"/>
  <headerFooter>
    <oddFooter>&amp;L&amp;ESDGE 2020 WMP - &amp;A&amp;C&amp;P&amp;R&amp;D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6708-82BA-44BE-A051-72C570CEB9B9}">
  <dimension ref="A1:D6"/>
  <sheetViews>
    <sheetView view="pageLayout" topLeftCell="A22" zoomScaleNormal="100" zoomScaleSheetLayoutView="90" workbookViewId="0">
      <selection activeCell="B10" sqref="B10"/>
    </sheetView>
  </sheetViews>
  <sheetFormatPr defaultRowHeight="14.4" x14ac:dyDescent="0.3"/>
  <cols>
    <col min="1" max="1" width="19.5546875" customWidth="1"/>
    <col min="2" max="2" width="70" customWidth="1"/>
    <col min="3" max="3" width="59.6640625" customWidth="1"/>
    <col min="4" max="4" width="13.33203125" customWidth="1"/>
  </cols>
  <sheetData>
    <row r="1" spans="1:4" ht="18" x14ac:dyDescent="0.35">
      <c r="A1" s="206" t="s">
        <v>368</v>
      </c>
      <c r="B1" s="207"/>
      <c r="C1" s="207"/>
      <c r="D1" s="208"/>
    </row>
    <row r="2" spans="1:4" ht="31.5" customHeight="1" x14ac:dyDescent="0.3">
      <c r="A2" s="228" t="s">
        <v>369</v>
      </c>
      <c r="B2" s="225" t="s">
        <v>370</v>
      </c>
      <c r="C2" s="225" t="s">
        <v>166</v>
      </c>
      <c r="D2" s="225" t="s">
        <v>371</v>
      </c>
    </row>
    <row r="3" spans="1:4" ht="18.600000000000001" customHeight="1" x14ac:dyDescent="0.3">
      <c r="A3" s="420" t="s">
        <v>372</v>
      </c>
      <c r="B3" s="164" t="s">
        <v>373</v>
      </c>
      <c r="C3" s="164" t="s">
        <v>374</v>
      </c>
      <c r="D3" s="421">
        <v>6.1</v>
      </c>
    </row>
    <row r="4" spans="1:4" ht="33.6" customHeight="1" x14ac:dyDescent="0.3">
      <c r="A4" s="420"/>
      <c r="B4" s="165" t="s">
        <v>375</v>
      </c>
      <c r="C4" s="165" t="s">
        <v>376</v>
      </c>
      <c r="D4" s="421"/>
    </row>
    <row r="5" spans="1:4" ht="34.200000000000003" customHeight="1" x14ac:dyDescent="0.3">
      <c r="A5" s="280" t="s">
        <v>377</v>
      </c>
      <c r="B5" s="164" t="s">
        <v>378</v>
      </c>
      <c r="C5" s="164" t="s">
        <v>379</v>
      </c>
      <c r="D5" s="281">
        <v>6.2</v>
      </c>
    </row>
    <row r="6" spans="1:4" ht="34.200000000000003" customHeight="1" x14ac:dyDescent="0.3">
      <c r="A6" s="280" t="s">
        <v>380</v>
      </c>
      <c r="B6" s="165" t="s">
        <v>381</v>
      </c>
      <c r="C6" s="165" t="s">
        <v>382</v>
      </c>
      <c r="D6" s="282">
        <v>6.3</v>
      </c>
    </row>
  </sheetData>
  <mergeCells count="2">
    <mergeCell ref="A3:A4"/>
    <mergeCell ref="D3:D4"/>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F130-6E40-4D11-8DAB-0243E458CDF7}">
  <dimension ref="A1:H20"/>
  <sheetViews>
    <sheetView view="pageLayout" topLeftCell="B13" zoomScaleNormal="70" zoomScaleSheetLayoutView="85" workbookViewId="0">
      <selection activeCell="E1" sqref="E1"/>
    </sheetView>
  </sheetViews>
  <sheetFormatPr defaultRowHeight="14.4" x14ac:dyDescent="0.3"/>
  <cols>
    <col min="1" max="1" width="23.109375" customWidth="1"/>
    <col min="2" max="2" width="93.44140625" customWidth="1"/>
    <col min="3" max="3" width="37.33203125" customWidth="1"/>
    <col min="4" max="4" width="11.109375" customWidth="1"/>
  </cols>
  <sheetData>
    <row r="1" spans="1:8" ht="18" x14ac:dyDescent="0.35">
      <c r="A1" s="424" t="s">
        <v>383</v>
      </c>
      <c r="B1" s="425"/>
      <c r="C1" s="425"/>
      <c r="D1" s="426"/>
    </row>
    <row r="2" spans="1:8" ht="25.5" customHeight="1" x14ac:dyDescent="0.3">
      <c r="A2" s="225" t="s">
        <v>369</v>
      </c>
      <c r="B2" s="225" t="s">
        <v>384</v>
      </c>
      <c r="C2" s="225" t="s">
        <v>166</v>
      </c>
      <c r="D2" s="225" t="s">
        <v>385</v>
      </c>
    </row>
    <row r="3" spans="1:8" ht="15.6" customHeight="1" x14ac:dyDescent="0.3">
      <c r="A3" s="420" t="s">
        <v>386</v>
      </c>
      <c r="B3" s="5" t="s">
        <v>387</v>
      </c>
      <c r="C3" s="5" t="s">
        <v>388</v>
      </c>
      <c r="D3" s="421">
        <v>6.4</v>
      </c>
    </row>
    <row r="4" spans="1:8" ht="15.6" customHeight="1" x14ac:dyDescent="0.3">
      <c r="A4" s="420"/>
      <c r="B4" s="29" t="s">
        <v>389</v>
      </c>
      <c r="C4" s="29" t="s">
        <v>388</v>
      </c>
      <c r="D4" s="421"/>
    </row>
    <row r="5" spans="1:8" ht="15.6" customHeight="1" x14ac:dyDescent="0.3">
      <c r="A5" s="420"/>
      <c r="B5" s="5" t="s">
        <v>390</v>
      </c>
      <c r="C5" s="5" t="s">
        <v>391</v>
      </c>
      <c r="D5" s="421"/>
    </row>
    <row r="6" spans="1:8" ht="15.6" customHeight="1" x14ac:dyDescent="0.3">
      <c r="A6" s="420"/>
      <c r="B6" s="29" t="s">
        <v>392</v>
      </c>
      <c r="C6" s="29" t="s">
        <v>393</v>
      </c>
      <c r="D6" s="421"/>
    </row>
    <row r="7" spans="1:8" ht="15.6" customHeight="1" x14ac:dyDescent="0.3">
      <c r="A7" s="420"/>
      <c r="B7" s="5" t="s">
        <v>394</v>
      </c>
      <c r="C7" s="5" t="s">
        <v>395</v>
      </c>
      <c r="D7" s="421"/>
    </row>
    <row r="8" spans="1:8" ht="15.6" customHeight="1" x14ac:dyDescent="0.3">
      <c r="A8" s="420"/>
      <c r="B8" s="29" t="s">
        <v>396</v>
      </c>
      <c r="C8" s="29" t="s">
        <v>395</v>
      </c>
      <c r="D8" s="421"/>
    </row>
    <row r="9" spans="1:8" ht="15.6" customHeight="1" x14ac:dyDescent="0.3">
      <c r="A9" s="420"/>
      <c r="B9" s="5" t="s">
        <v>397</v>
      </c>
      <c r="C9" s="5" t="s">
        <v>398</v>
      </c>
      <c r="D9" s="421"/>
    </row>
    <row r="10" spans="1:8" ht="15.6" customHeight="1" x14ac:dyDescent="0.3">
      <c r="A10" s="420"/>
      <c r="B10" s="29" t="s">
        <v>399</v>
      </c>
      <c r="C10" s="29" t="s">
        <v>398</v>
      </c>
      <c r="D10" s="421"/>
    </row>
    <row r="11" spans="1:8" ht="15.6" customHeight="1" x14ac:dyDescent="0.3">
      <c r="A11" s="420"/>
      <c r="B11" s="5" t="s">
        <v>400</v>
      </c>
      <c r="C11" s="5" t="s">
        <v>393</v>
      </c>
      <c r="D11" s="421"/>
    </row>
    <row r="12" spans="1:8" ht="15.6" customHeight="1" x14ac:dyDescent="0.3">
      <c r="A12" s="420"/>
      <c r="B12" s="29" t="s">
        <v>401</v>
      </c>
      <c r="C12" s="29" t="s">
        <v>393</v>
      </c>
      <c r="D12" s="421"/>
    </row>
    <row r="13" spans="1:8" ht="15.6" customHeight="1" x14ac:dyDescent="0.3">
      <c r="A13" s="420"/>
      <c r="B13" s="5" t="s">
        <v>402</v>
      </c>
      <c r="C13" s="5" t="s">
        <v>393</v>
      </c>
      <c r="D13" s="421"/>
      <c r="E13" s="422"/>
      <c r="F13" s="423"/>
      <c r="G13" s="423"/>
      <c r="H13" s="423"/>
    </row>
    <row r="14" spans="1:8" ht="15.6" customHeight="1" x14ac:dyDescent="0.3">
      <c r="A14" s="427" t="s">
        <v>403</v>
      </c>
      <c r="B14" s="19" t="s">
        <v>387</v>
      </c>
      <c r="C14" s="19" t="s">
        <v>398</v>
      </c>
      <c r="D14" s="421">
        <v>6.5</v>
      </c>
      <c r="E14" s="422"/>
      <c r="F14" s="423"/>
      <c r="G14" s="423"/>
      <c r="H14" s="7"/>
    </row>
    <row r="15" spans="1:8" ht="15.6" customHeight="1" x14ac:dyDescent="0.3">
      <c r="A15" s="428"/>
      <c r="B15" s="6" t="s">
        <v>389</v>
      </c>
      <c r="C15" s="6" t="s">
        <v>398</v>
      </c>
      <c r="D15" s="421"/>
    </row>
    <row r="16" spans="1:8" ht="15.6" customHeight="1" x14ac:dyDescent="0.3">
      <c r="A16" s="428"/>
      <c r="B16" s="19" t="s">
        <v>390</v>
      </c>
      <c r="C16" s="19" t="s">
        <v>398</v>
      </c>
      <c r="D16" s="421"/>
    </row>
    <row r="17" spans="1:4" ht="15.6" customHeight="1" x14ac:dyDescent="0.3">
      <c r="A17" s="428"/>
      <c r="B17" s="6" t="s">
        <v>404</v>
      </c>
      <c r="C17" s="6" t="s">
        <v>398</v>
      </c>
      <c r="D17" s="421"/>
    </row>
    <row r="18" spans="1:4" ht="15.6" customHeight="1" x14ac:dyDescent="0.3">
      <c r="A18" s="428"/>
      <c r="B18" s="19" t="s">
        <v>405</v>
      </c>
      <c r="C18" s="19" t="s">
        <v>398</v>
      </c>
      <c r="D18" s="421"/>
    </row>
    <row r="19" spans="1:4" ht="15.6" customHeight="1" x14ac:dyDescent="0.3">
      <c r="A19" s="429"/>
      <c r="B19" s="6" t="s">
        <v>400</v>
      </c>
      <c r="C19" s="6" t="s">
        <v>393</v>
      </c>
      <c r="D19" s="421"/>
    </row>
    <row r="20" spans="1:4" ht="43.95" customHeight="1" x14ac:dyDescent="0.3">
      <c r="A20" s="283" t="s">
        <v>406</v>
      </c>
      <c r="B20" s="19" t="s">
        <v>407</v>
      </c>
      <c r="C20" s="19" t="s">
        <v>398</v>
      </c>
      <c r="D20" s="281">
        <v>7.6</v>
      </c>
    </row>
  </sheetData>
  <mergeCells count="7">
    <mergeCell ref="E13:H13"/>
    <mergeCell ref="E14:G14"/>
    <mergeCell ref="A1:D1"/>
    <mergeCell ref="D14:D19"/>
    <mergeCell ref="A14:A19"/>
    <mergeCell ref="A3:A13"/>
    <mergeCell ref="D3:D1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4DA40E261794486441F166B9E235A" ma:contentTypeVersion="13" ma:contentTypeDescription="Create a new document." ma:contentTypeScope="" ma:versionID="c44a815521f53965afb08d035981c211">
  <xsd:schema xmlns:xsd="http://www.w3.org/2001/XMLSchema" xmlns:xs="http://www.w3.org/2001/XMLSchema" xmlns:p="http://schemas.microsoft.com/office/2006/metadata/properties" xmlns:ns3="1fc248c3-ff09-43ca-b0f5-2ab76585017c" xmlns:ns4="2ca58cb1-a033-43ef-8c86-0668b269dda1" targetNamespace="http://schemas.microsoft.com/office/2006/metadata/properties" ma:root="true" ma:fieldsID="2a2d63965f0293604e5bef814f658b33" ns3:_="" ns4:_="">
    <xsd:import namespace="1fc248c3-ff09-43ca-b0f5-2ab76585017c"/>
    <xsd:import namespace="2ca58cb1-a033-43ef-8c86-0668b269d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248c3-ff09-43ca-b0f5-2ab76585017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a58cb1-a033-43ef-8c86-0668b269dd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BE9C02-3917-4127-BED4-2430886A4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248c3-ff09-43ca-b0f5-2ab76585017c"/>
    <ds:schemaRef ds:uri="2ca58cb1-a033-43ef-8c86-0668b269d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BFCA8-6C53-41E1-9EDF-9DE1FE386328}">
  <ds:schemaRefs>
    <ds:schemaRef ds:uri="http://schemas.microsoft.com/sharepoint/v3/contenttype/forms"/>
  </ds:schemaRefs>
</ds:datastoreItem>
</file>

<file path=customXml/itemProps3.xml><?xml version="1.0" encoding="utf-8"?>
<ds:datastoreItem xmlns:ds="http://schemas.openxmlformats.org/officeDocument/2006/customXml" ds:itemID="{F1F2297E-F64D-4FA1-A2AB-B3940C7AF762}">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1fc248c3-ff09-43ca-b0f5-2ab76585017c"/>
    <ds:schemaRef ds:uri="http://purl.org/dc/terms/"/>
    <ds:schemaRef ds:uri="http://schemas.openxmlformats.org/package/2006/metadata/core-properties"/>
    <ds:schemaRef ds:uri="2ca58cb1-a033-43ef-8c86-0668b269dd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Table22</vt:lpstr>
      <vt:lpstr>Table22a</vt:lpstr>
      <vt:lpstr>Table23</vt:lpstr>
      <vt:lpstr>Table23a</vt:lpstr>
      <vt:lpstr>Table24</vt:lpstr>
      <vt:lpstr>Table24a</vt:lpstr>
      <vt:lpstr>Table25</vt:lpstr>
      <vt:lpstr>Table25a</vt:lpstr>
      <vt:lpstr>Table26</vt:lpstr>
      <vt:lpstr>Table27</vt:lpstr>
      <vt:lpstr>Table28</vt:lpstr>
      <vt:lpstr>Table29</vt:lpstr>
      <vt:lpstr>Table 30</vt:lpstr>
      <vt:lpstr>Table 31</vt:lpstr>
      <vt:lpstr>'Table 10'!Print_Area</vt:lpstr>
      <vt:lpstr>'Table 11'!Print_Area</vt:lpstr>
      <vt:lpstr>'Table 16'!Print_Area</vt:lpstr>
      <vt:lpstr>'Table 18'!Print_Area</vt:lpstr>
      <vt:lpstr>'Table 2'!Print_Area</vt:lpstr>
      <vt:lpstr>'Table 31'!Print_Area</vt:lpstr>
      <vt:lpstr>'Table 4'!Print_Area</vt:lpstr>
      <vt:lpstr>'Table 5'!Print_Area</vt:lpstr>
      <vt:lpstr>'Table 6'!Print_Area</vt:lpstr>
      <vt:lpstr>'Table 9'!Print_Area</vt:lpstr>
      <vt:lpstr>Table23a!Print_Area</vt:lpstr>
      <vt:lpstr>Table25a!Print_Area</vt:lpstr>
      <vt:lpstr>Table28!Print_Area</vt:lpstr>
      <vt:lpstr>'Table 1'!Print_Titles</vt:lpstr>
      <vt:lpstr>'Table 13'!Print_Titles</vt:lpstr>
      <vt:lpstr>'Table 17'!Print_Titles</vt:lpstr>
      <vt:lpstr>'Table 2'!Print_Titles</vt:lpstr>
      <vt:lpstr>'Table 31'!Print_Titles</vt:lpstr>
      <vt:lpstr>'Table 4'!Print_Titles</vt:lpstr>
      <vt:lpstr>Table22!Print_Titles</vt:lpstr>
      <vt:lpstr>Table23!Print_Titles</vt:lpstr>
      <vt:lpstr>Table23a!Print_Titles</vt:lpstr>
      <vt:lpstr>Table24!Print_Titles</vt:lpstr>
      <vt:lpstr>Table24a!Print_Titles</vt:lpstr>
      <vt:lpstr>Table25!Print_Titles</vt:lpstr>
      <vt:lpstr>Table25a!Print_Titles</vt:lpstr>
      <vt:lpstr>Table26!Print_Titles</vt:lpstr>
      <vt:lpstr>Table27!Print_Titles</vt:lpstr>
      <vt:lpstr>Table28!Print_Titles</vt:lpstr>
      <vt:lpstr>Table29!Print_Titles</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Raagas, Kirstie</dc:creator>
  <cp:keywords/>
  <dc:description/>
  <cp:lastModifiedBy>Taylor, Cynthia S</cp:lastModifiedBy>
  <cp:revision/>
  <cp:lastPrinted>2020-02-07T21:31:13Z</cp:lastPrinted>
  <dcterms:created xsi:type="dcterms:W3CDTF">2019-12-19T06:37:06Z</dcterms:created>
  <dcterms:modified xsi:type="dcterms:W3CDTF">2020-02-07T22:49:41Z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0x01010014C4DA40E261794486441F166B9E235A</vt:lpwstr>
  </property>
</Properties>
</file>