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1" documentId="8_{25CD20FC-8397-4240-9D8A-D8B151CF3249}" xr6:coauthVersionLast="47" xr6:coauthVersionMax="47" xr10:uidLastSave="{CEE9EE78-AE79-4BB8-8BCA-E624F2FCA2EF}"/>
  <bookViews>
    <workbookView xWindow="-12953" yWindow="-21697" windowWidth="38595" windowHeight="21194" activeTab="1" xr2:uid="{E7380777-6474-4AAE-ADAB-CE7323E091AC}"/>
  </bookViews>
  <sheets>
    <sheet name="Summary" sheetId="5" r:id="rId1"/>
    <sheet name="Additional Details" sheetId="4" r:id="rId2"/>
  </sheets>
  <definedNames>
    <definedName name="_xlnm._FilterDatabase" localSheetId="1" hidden="1">'Additional Details'!$B$1:$U$24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4" l="1"/>
  <c r="R12" i="4" l="1"/>
  <c r="C4" i="5"/>
  <c r="C5" i="5"/>
  <c r="C6" i="5"/>
  <c r="C7" i="5"/>
  <c r="C8" i="5"/>
  <c r="C9" i="5"/>
  <c r="C12" i="5"/>
  <c r="C13" i="5"/>
  <c r="L17" i="4" l="1"/>
  <c r="O4" i="4" l="1"/>
  <c r="D5" i="5" s="1"/>
  <c r="C22" i="5"/>
  <c r="C23" i="5" s="1"/>
  <c r="O14" i="4"/>
  <c r="R4" i="4"/>
  <c r="E5" i="5" s="1"/>
  <c r="F5" i="5" l="1"/>
  <c r="S4" i="4" l="1"/>
  <c r="R16" i="4"/>
  <c r="O8" i="4"/>
  <c r="O5" i="4"/>
  <c r="O16" i="4"/>
  <c r="Q13" i="4"/>
  <c r="R13" i="4" s="1"/>
  <c r="Q6" i="4"/>
  <c r="R6" i="4" s="1"/>
  <c r="R5" i="4"/>
  <c r="N6" i="4"/>
  <c r="O6" i="4" s="1"/>
  <c r="Q9" i="4"/>
  <c r="R9" i="4" s="1"/>
  <c r="Q8" i="4"/>
  <c r="R8" i="4" s="1"/>
  <c r="N9" i="4"/>
  <c r="O9" i="4" s="1"/>
  <c r="Q7" i="4"/>
  <c r="R7" i="4" s="1"/>
  <c r="E8" i="5" s="1"/>
  <c r="N7" i="4"/>
  <c r="O7" i="4" s="1"/>
  <c r="D8" i="5" s="1"/>
  <c r="R14" i="4"/>
  <c r="S14" i="4" s="1"/>
  <c r="Q10" i="4"/>
  <c r="R10" i="4" s="1"/>
  <c r="Q11" i="4"/>
  <c r="R11" i="4" s="1"/>
  <c r="N13" i="4"/>
  <c r="O13" i="4" s="1"/>
  <c r="N11" i="4"/>
  <c r="O11" i="4" s="1"/>
  <c r="N10" i="4"/>
  <c r="O10" i="4" s="1"/>
  <c r="D6" i="5" s="1"/>
  <c r="N15" i="4"/>
  <c r="O15" i="4" s="1"/>
  <c r="N12" i="4"/>
  <c r="O12" i="4" s="1"/>
  <c r="D7" i="5" s="1"/>
  <c r="E6" i="5" l="1"/>
  <c r="D4" i="5"/>
  <c r="E9" i="5"/>
  <c r="E12" i="5"/>
  <c r="E7" i="5"/>
  <c r="D9" i="5"/>
  <c r="E4" i="5"/>
  <c r="S16" i="4"/>
  <c r="D22" i="5"/>
  <c r="D13" i="5"/>
  <c r="D12" i="5"/>
  <c r="S5" i="4"/>
  <c r="S6" i="4"/>
  <c r="S13" i="4"/>
  <c r="S9" i="4"/>
  <c r="S10" i="4"/>
  <c r="S11" i="4"/>
  <c r="D10" i="5" l="1"/>
  <c r="F12" i="5"/>
  <c r="F9" i="5"/>
  <c r="D23" i="5"/>
  <c r="F6" i="5"/>
  <c r="R15" i="4"/>
  <c r="S15" i="4" s="1"/>
  <c r="D16" i="5" l="1"/>
  <c r="D14" i="5"/>
  <c r="D25" i="5"/>
  <c r="D27" i="5" s="1"/>
  <c r="E22" i="5"/>
  <c r="R17" i="4"/>
  <c r="I5" i="5" l="1"/>
  <c r="I7" i="5"/>
  <c r="I8" i="5"/>
  <c r="I6" i="5"/>
  <c r="I4" i="5"/>
  <c r="I9" i="5"/>
  <c r="E13" i="5"/>
  <c r="E23" i="5"/>
  <c r="F22" i="5"/>
  <c r="F23" i="5" s="1"/>
  <c r="S12" i="4"/>
  <c r="I10" i="5" l="1"/>
  <c r="C10" i="5"/>
  <c r="C14" i="5" s="1"/>
  <c r="E10" i="5"/>
  <c r="E14" i="5" s="1"/>
  <c r="F7" i="5"/>
  <c r="F13" i="5"/>
  <c r="S8" i="4"/>
  <c r="S7" i="4"/>
  <c r="F4" i="5"/>
  <c r="C16" i="5" l="1"/>
  <c r="E16" i="5"/>
  <c r="S17" i="4"/>
  <c r="E25" i="5"/>
  <c r="E27" i="5" s="1"/>
  <c r="C25" i="5"/>
  <c r="C27" i="5" s="1"/>
  <c r="F8" i="5"/>
  <c r="H7" i="5" l="1"/>
  <c r="H6" i="5"/>
  <c r="H5" i="5"/>
  <c r="K5" i="5" s="1"/>
  <c r="H4" i="5"/>
  <c r="H8" i="5"/>
  <c r="K8" i="5" s="1"/>
  <c r="H9" i="5"/>
  <c r="J5" i="5"/>
  <c r="J8" i="5"/>
  <c r="J7" i="5"/>
  <c r="J6" i="5"/>
  <c r="J9" i="5"/>
  <c r="J4" i="5"/>
  <c r="J10" i="5" s="1"/>
  <c r="F10" i="5"/>
  <c r="F14" i="5" s="1"/>
  <c r="K7" i="5" l="1"/>
  <c r="K4" i="5"/>
  <c r="K9" i="5"/>
  <c r="K6" i="5"/>
  <c r="H10" i="5"/>
  <c r="F25" i="5"/>
  <c r="F27" i="5" s="1"/>
  <c r="K10" i="5" l="1"/>
</calcChain>
</file>

<file path=xl/sharedStrings.xml><?xml version="1.0" encoding="utf-8"?>
<sst xmlns="http://schemas.openxmlformats.org/spreadsheetml/2006/main" count="148" uniqueCount="80">
  <si>
    <t>Nexus Digital Application</t>
  </si>
  <si>
    <t>2024-2026</t>
  </si>
  <si>
    <t>Category</t>
  </si>
  <si>
    <t>Unit Description</t>
  </si>
  <si>
    <t># of Units</t>
  </si>
  <si>
    <t>Cost/Unit</t>
  </si>
  <si>
    <t>Total Cost ($)</t>
  </si>
  <si>
    <t>Labor</t>
  </si>
  <si>
    <t>Automated Utility Design Enhancement</t>
  </si>
  <si>
    <t>Automated Intelligence</t>
  </si>
  <si>
    <t>Geographic Information System Enhancement</t>
  </si>
  <si>
    <t>Geographic Information System (GIS)</t>
  </si>
  <si>
    <t>Cloud Data Foundation</t>
  </si>
  <si>
    <t>Builder Services Portal (BSP)</t>
  </si>
  <si>
    <t>Labor Portion (Direct Charged)</t>
  </si>
  <si>
    <t>Non-Labor Portion</t>
  </si>
  <si>
    <t>Check Total</t>
  </si>
  <si>
    <t>Labor %</t>
  </si>
  <si>
    <t>Total 2024-2026</t>
  </si>
  <si>
    <t>Misc. All Other System Enhancements, O&amp;M</t>
  </si>
  <si>
    <t xml:space="preserve">Grand Total: </t>
  </si>
  <si>
    <t> </t>
  </si>
  <si>
    <t>Include/Exclude</t>
  </si>
  <si>
    <t>High Level Scope Assumptions</t>
  </si>
  <si>
    <t>Non-Labor</t>
  </si>
  <si>
    <t>Exclude</t>
  </si>
  <si>
    <t># of Contractor Resources working 1040h prorated for 2025 and  2080h for 2026. See assumptions below.</t>
  </si>
  <si>
    <t>ea</t>
  </si>
  <si>
    <t>Include</t>
  </si>
  <si>
    <t>BSP, BSP/SAP Integration, SAP</t>
  </si>
  <si>
    <t>Builder Services Portal system enhancements to support Customer Engagement and Communication requirements established in D.24-09-020.   
Assumptions:  40 enhancements.  160 Hours per enhancemet using multiple external and internal resources, per example below rates.  50% of enhancements require SAP, iPMP changes and integration changes (PO, Layer7).   $3.79M</t>
  </si>
  <si>
    <t>Nexus directly supports D.24-09-020 compliance by aligning with newly established eight-step energization framework, integrating with SAP for comprehensive project tracking, enabling automated reporting for mandated timeline metrics, supporting enhanced customer engagement through improved project visibility, and providing early warning systems for potential timeline delays.  Includes training environment, business readiness efforts, known energization timeline requirements, post release enhancements, and changes.</t>
  </si>
  <si>
    <t># of Contractor Resources working 2080 hours. See assumptions below.  Used Actual costs for 2024 (effort started in Q4 2024).</t>
  </si>
  <si>
    <t># of FTE Resources working 2080 hours.  See assumptions below.</t>
  </si>
  <si>
    <t>While AUD’s existing implementation addresses small underground electric and gas design for new business, significant enhancements are required to meet D.24-09-020’s accelerated timeline requirements. 
AUD provides comprehensive design workflow automation through:
•	End-to-end design process integration
•	Automated bill of material generation
•	Rule-based engineering calculations
•	Streamlined project management capabilities
•	Integrated gas operations support
To achieve compliance, SDG&amp;E will expand AUD capabilities to include: 
•	Automation of current manual configuration processes
•	Support for medium and large underground new business projects
•	Franchise design integration
•	Overhead electric design functionality
•	External contractor configuration access</t>
  </si>
  <si>
    <t># of Contractor Resources working 2080 hours. See assumptions below.</t>
  </si>
  <si>
    <t xml:space="preserve">Automate manual entries in the current configuration and expand the system to accommodate medium- and large-sized underground new business and franchise designs, as well as overhead electric designs. To further broaden its application, external configurations for contractors will also need to be implemented, ensuring a comprehensive and efficient design process.  </t>
  </si>
  <si>
    <t xml:space="preserve">Software Products Developed &amp; Delivered
</t>
  </si>
  <si>
    <t># of FTE Resources working 1040h prorated for 2025 and  2080h for 2026. See assumptions below.</t>
  </si>
  <si>
    <t>Cloud Data Foundation (this budget line is included in Table 15's Misc Compliance System Enhancement category of the SB410 application)</t>
  </si>
  <si>
    <t xml:space="preserve">SDG&amp;E’s Data Analytics &amp; Reporting team needs the ability to develop a data foundation in the cloud to meet the D.24-09-020 reporting requirements. This will enable:
Centralization of data from multiple systems (such as SAP, BSP, GIS, etc.)
Consistent and accurate internal and external reporting
Data products to meet the operational and compliance reporting and analytics
This data platform will be governed by management oversight, policies and procedures, and enterprise data standards. </t>
  </si>
  <si>
    <t>Cloud Subscription Costs</t>
  </si>
  <si>
    <t>Cloud  Data Foundation</t>
  </si>
  <si>
    <t>GIS system and integration enhancements
As additional SB410 scope we would plan this effort under the GIS Utility Network transformation initiative, refactor the GIS Integration processes to streamline and simplify the nightly jobs and improve data share cadence.
**Preliminary cost estimates to be further refined as part of the GIS Utility Network Transformation initiative review and business case development activities planned for second part of 2025. 
Through UN we can introduce a partial posting capability addressing single threading issue related to "prelim on prelim".  Example: We have prelim digitized for fire hardening, 7 spans of OH in GIS (job 1). We receive another job installing a weather station (job 2) on one of the poles. We have to place the job on hold and cannot digitize because the pole (structure) is already in prelim.
AUD-&gt;GIS Integration
SAP&lt;-&gt;GIS Integration</t>
  </si>
  <si>
    <t xml:space="preserve">As additional SB410 scope we would plan this effort under the GIS Utility Network transformation initiative, refactor the GIS Integration processes to streamline and simplify the nightly jobs and improve data share cadence.
**Preliminary cost estimates to be further refined as part of the GIS Utility Network Transformation initiative review and business case development activities planned for second part of 2025. 
</t>
  </si>
  <si>
    <t>GIS system and integration enhancements
As additional SB410 scope we would plan this effort under the GIS Utility Network transformation initiative, refactor the GIS Integration processes to streamline and simplify the nightly jobs and improve data share cadence.
**Preliminary cost estimates to be further refined as part of the GIS Utility Network Transformation initiative review and business case development activities planned for second part of 2025. 
AUD-&gt;GIS Integration
SAP&lt;-&gt;GIS Integration</t>
  </si>
  <si>
    <t>GIS Process Improvement</t>
  </si>
  <si>
    <t xml:space="preserve">GIS Data Validation Tools
Changing the workflow to have pre-digitizing activities take place in parallel with construction activities. This would help reduce the overall timeline by up to 2 weeks.
**Preliminary cost estimates to be further refined as part of the GIS Utility Network Transformation initiative review and business case development activities planned for second part of 2025. </t>
  </si>
  <si>
    <t xml:space="preserve"> ClickUp enhancements, Microsoft PowerApps for Project Support (Table 15's Misc Compliance System Enhancements in SB410 app)</t>
  </si>
  <si>
    <t xml:space="preserve">SDG&amp;E’s Environmental Services team requires enhanced project review tracking capabilities for Rules 15, 16, and 45 projects to meet D.24-09-020 timeline requirements. ClickUp implementation will enable:
•	Precise deadline tracking and dependency management
•	Real-time project status visibility
•	Enhanced team collaboration
•	Efficient stakeholder communication
•	Transparent issue identification and resolution
The system will support compliance by providing clear visibility into environmental review timelines and potential delays affecting energization schedules. </t>
  </si>
  <si>
    <t># of Contractor Resources working 1040 hours. See assumptions below.</t>
  </si>
  <si>
    <t>ClickUp for Environmental Services ($48K est), DPM Project Support (System enhancements for Microsoft Apps, Microsoft Automate, Power BI - $70K est)</t>
  </si>
  <si>
    <t>V&amp;S Factor</t>
  </si>
  <si>
    <r>
      <t xml:space="preserve">Financial Model Output </t>
    </r>
    <r>
      <rPr>
        <sz val="11"/>
        <color theme="0"/>
        <rFont val="Aptos Narrow"/>
        <family val="2"/>
        <scheme val="minor"/>
      </rPr>
      <t>(V&amp;S &amp;  Inflation Adjusted)</t>
    </r>
  </si>
  <si>
    <t>$ Whole Dollars</t>
  </si>
  <si>
    <t>$ Thousands</t>
  </si>
  <si>
    <t>Other Comments</t>
  </si>
  <si>
    <t>Capital work to enhance BSP, SAP, IPMP.</t>
  </si>
  <si>
    <t>Application development to gain timeline efficiencies, enable tracking, and support reporting requirements of the Energization decision.</t>
  </si>
  <si>
    <t>O&amp;M excluded  from filing.</t>
  </si>
  <si>
    <r>
      <t>Business Unit Inputs</t>
    </r>
    <r>
      <rPr>
        <sz val="11"/>
        <color theme="1"/>
        <rFont val="Aptos Narrow"/>
        <family val="2"/>
        <scheme val="minor"/>
      </rPr>
      <t xml:space="preserve"> (Unadjusted)</t>
    </r>
  </si>
  <si>
    <t>Total</t>
  </si>
  <si>
    <t>Excluded Items:</t>
  </si>
  <si>
    <t>Function</t>
  </si>
  <si>
    <t>Unit of Measure</t>
  </si>
  <si>
    <t>Product 1 - Design Standards Chatbot
Improve accessibility and utilization of existing construstion and engineering stds, improving planning and design quality reducing rework time
Product 2 - Design Copilot
AI automation for low complexity high volume designs/jobs (e.g. service order work), decreasing planning and design time for these high volume jobs
Product 3 - Material &amp; Compatible Unit Optimization
AI automation to connect disparate and manual processes, increasing the design quality with more frequent/automatic/consistent material and design unit updates</t>
  </si>
  <si>
    <t>Comments</t>
  </si>
  <si>
    <t>O&amp;M -  excluded  from filing.</t>
  </si>
  <si>
    <t xml:space="preserve">O&amp;M - excluded from filing.
Changing the workflow to have pre-digitizing activities take place in parallel with construction activities. This would help reduce the overall timeline by up to 2 weeks. Preliminary cost estimates to be further refined as part of the GIS Utility Network Transformation initiative review and business case development activities planned for second part of 2025. </t>
  </si>
  <si>
    <t>Capital %</t>
  </si>
  <si>
    <t>O&amp;M %</t>
  </si>
  <si>
    <t>Capital Project, Training</t>
  </si>
  <si>
    <r>
      <rPr>
        <b/>
        <sz val="11"/>
        <color theme="1"/>
        <rFont val="Aptos Narrow"/>
        <family val="2"/>
        <scheme val="minor"/>
      </rPr>
      <t>Roles</t>
    </r>
    <r>
      <rPr>
        <sz val="11"/>
        <color theme="1"/>
        <rFont val="Aptos Narrow"/>
        <family val="2"/>
        <scheme val="minor"/>
      </rPr>
      <t>:  Delivery Lead, Program Lead, Ent Architect, Workstream Lead, Sol Architect, Bus Process Lead, Prog Mgr, Tech Architect, Sr. Func Consultant, Func Consultant, Sr. Func Analyst, Sr Tech Analyst, Sr. Team Lead, Developer.</t>
    </r>
  </si>
  <si>
    <r>
      <rPr>
        <b/>
        <sz val="11"/>
        <color theme="1"/>
        <rFont val="Aptos Narrow"/>
        <family val="2"/>
        <scheme val="minor"/>
      </rPr>
      <t>Roles</t>
    </r>
    <r>
      <rPr>
        <sz val="11"/>
        <color theme="1"/>
        <rFont val="Aptos Narrow"/>
        <family val="2"/>
        <scheme val="minor"/>
      </rPr>
      <t>:   Sr Group Product Mgr, Group Product Manager, Group Product Owner, Prin Product Owner, Product Owner Team Lead, Product Owner, Scrum Master  Prin Data Engineer, Prin Domain Engineer, Prin SW Engineer, SW Engineer I/II, Sr. Domain Architect, Domain Engineer I/II, Sr. Sol Analyst, Sol Analyst.</t>
    </r>
  </si>
  <si>
    <t xml:space="preserve">Estimation and Calculation Assumptions </t>
  </si>
  <si>
    <t>1) All estimates are for budgetary purposes based on high level understanding of scope as of Q1 2025, subject to change based on future discovery.</t>
  </si>
  <si>
    <t>2) One Year Working Hours</t>
  </si>
  <si>
    <t>3) External Hourly Rate - Avg Blended Onshore/Offshore Hourly Rates - Non-Labor (Used Rate Card for Commonly Used IT Service Provider).  Assumption is 50% onshore/50% offshore.</t>
  </si>
  <si>
    <t>4) Internal (Commonly Used IT Roles) Hourly Rate - Unloaded</t>
  </si>
  <si>
    <t>5) Half Year Working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</si>
</sst>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s>
  <fonts count="20" x14ac:knownFonts="1">
    <font>
      <sz val="11"/>
      <color theme="1"/>
      <name val="Aptos Narrow"/>
      <family val="2"/>
      <scheme val="minor"/>
    </font>
    <font>
      <b/>
      <sz val="11"/>
      <color theme="1"/>
      <name val="Aptos Narrow"/>
      <family val="2"/>
      <scheme val="minor"/>
    </font>
    <font>
      <sz val="11"/>
      <color rgb="FF000000"/>
      <name val="Aptos Narrow"/>
      <family val="2"/>
    </font>
    <font>
      <b/>
      <sz val="11"/>
      <color rgb="FF000000"/>
      <name val="Aptos Narrow"/>
      <family val="2"/>
    </font>
    <font>
      <b/>
      <sz val="11"/>
      <color rgb="FFFF0000"/>
      <name val="Aptos Narrow"/>
      <family val="2"/>
    </font>
    <font>
      <sz val="11"/>
      <color theme="1"/>
      <name val="Aptos Narrow"/>
      <family val="2"/>
      <scheme val="minor"/>
    </font>
    <font>
      <i/>
      <sz val="11"/>
      <color theme="1"/>
      <name val="Aptos Narrow"/>
      <family val="2"/>
    </font>
    <font>
      <i/>
      <sz val="11"/>
      <color theme="1"/>
      <name val="Aptos Narrow"/>
      <family val="2"/>
      <scheme val="minor"/>
    </font>
    <font>
      <i/>
      <sz val="11"/>
      <color rgb="FF000000"/>
      <name val="Aptos Narrow"/>
      <family val="2"/>
    </font>
    <font>
      <b/>
      <sz val="11"/>
      <color rgb="FF000000"/>
      <name val="Aptos Narrow"/>
      <family val="2"/>
    </font>
    <font>
      <sz val="11"/>
      <color rgb="FF000000"/>
      <name val="Aptos Narrow"/>
      <family val="2"/>
    </font>
    <font>
      <i/>
      <sz val="11"/>
      <color rgb="FF000000"/>
      <name val="Aptos Narrow"/>
      <family val="2"/>
    </font>
    <font>
      <b/>
      <sz val="11"/>
      <color theme="0"/>
      <name val="Aptos Narrow"/>
      <family val="2"/>
      <scheme val="minor"/>
    </font>
    <font>
      <sz val="11"/>
      <color theme="0"/>
      <name val="Aptos Narrow"/>
      <family val="2"/>
      <scheme val="minor"/>
    </font>
    <font>
      <b/>
      <sz val="12"/>
      <color rgb="FF000000"/>
      <name val="Aptos Narrow"/>
      <family val="2"/>
    </font>
    <font>
      <sz val="12"/>
      <color rgb="FF000000"/>
      <name val="Aptos Narrow"/>
      <family val="2"/>
    </font>
    <font>
      <b/>
      <i/>
      <sz val="11"/>
      <color theme="0"/>
      <name val="Aptos Narrow"/>
      <family val="2"/>
    </font>
    <font>
      <b/>
      <sz val="11"/>
      <color theme="0"/>
      <name val="Aptos Narrow"/>
      <family val="2"/>
    </font>
    <font>
      <b/>
      <sz val="11"/>
      <color theme="1"/>
      <name val="Aptos Narrow"/>
      <family val="2"/>
    </font>
    <font>
      <b/>
      <sz val="18"/>
      <color theme="1"/>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3" tint="9.9978637043366805E-2"/>
        <bgColor indexed="64"/>
      </patternFill>
    </fill>
    <fill>
      <patternFill patternType="solid">
        <fgColor theme="0" tint="-0.14999847407452621"/>
        <bgColor indexed="64"/>
      </patternFill>
    </fill>
    <fill>
      <patternFill patternType="solid">
        <fgColor theme="7" tint="-0.499984740745262"/>
        <bgColor indexed="64"/>
      </patternFill>
    </fill>
    <fill>
      <patternFill patternType="solid">
        <fgColor theme="7" tint="0.79998168889431442"/>
        <bgColor indexed="64"/>
      </patternFill>
    </fill>
  </fills>
  <borders count="11">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121">
    <xf numFmtId="0" fontId="0" fillId="0" borderId="0" xfId="0"/>
    <xf numFmtId="0" fontId="2" fillId="0" borderId="0" xfId="0" applyFont="1" applyAlignment="1">
      <alignment wrapText="1"/>
    </xf>
    <xf numFmtId="0" fontId="0" fillId="0" borderId="0" xfId="0" applyAlignment="1">
      <alignment vertical="top"/>
    </xf>
    <xf numFmtId="0" fontId="3" fillId="0" borderId="0" xfId="0" applyFont="1"/>
    <xf numFmtId="0" fontId="0" fillId="0" borderId="0" xfId="0" applyAlignment="1">
      <alignment vertical="top" wrapText="1"/>
    </xf>
    <xf numFmtId="0" fontId="4" fillId="0" borderId="0" xfId="0" applyFont="1"/>
    <xf numFmtId="0" fontId="4" fillId="0" borderId="0" xfId="0" applyFont="1" applyAlignment="1">
      <alignment wrapText="1"/>
    </xf>
    <xf numFmtId="0" fontId="1" fillId="0" borderId="0" xfId="0" applyFont="1" applyAlignment="1">
      <alignment horizontal="center"/>
    </xf>
    <xf numFmtId="0" fontId="2" fillId="0" borderId="0" xfId="0" applyFont="1"/>
    <xf numFmtId="6" fontId="2" fillId="0" borderId="0" xfId="0" applyNumberFormat="1" applyFont="1"/>
    <xf numFmtId="44" fontId="2" fillId="0" borderId="0" xfId="0" applyNumberFormat="1" applyFont="1"/>
    <xf numFmtId="0" fontId="2" fillId="0" borderId="0" xfId="0" applyFont="1" applyAlignment="1">
      <alignment vertical="top" wrapText="1"/>
    </xf>
    <xf numFmtId="0" fontId="2" fillId="0" borderId="0" xfId="0" applyFont="1" applyAlignment="1">
      <alignment vertical="top"/>
    </xf>
    <xf numFmtId="0" fontId="7" fillId="0" borderId="0" xfId="0" applyFont="1"/>
    <xf numFmtId="0" fontId="0" fillId="0" borderId="5" xfId="0" applyBorder="1" applyAlignment="1">
      <alignment horizontal="left" vertical="center" indent="1"/>
    </xf>
    <xf numFmtId="164" fontId="0" fillId="0" borderId="5" xfId="0" applyNumberForma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6" fontId="2" fillId="0" borderId="5" xfId="0" applyNumberFormat="1" applyFont="1" applyBorder="1" applyAlignment="1">
      <alignment horizontal="center" vertical="center"/>
    </xf>
    <xf numFmtId="164" fontId="2" fillId="0" borderId="5" xfId="1" applyNumberFormat="1" applyFont="1" applyFill="1" applyBorder="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164" fontId="8" fillId="0" borderId="0" xfId="0" applyNumberFormat="1" applyFont="1" applyAlignment="1">
      <alignment vertical="center"/>
    </xf>
    <xf numFmtId="0" fontId="8"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44" fontId="2" fillId="0" borderId="0" xfId="1" applyFont="1" applyFill="1" applyBorder="1" applyAlignment="1">
      <alignment vertical="center"/>
    </xf>
    <xf numFmtId="0" fontId="2" fillId="0" borderId="0" xfId="1" applyNumberFormat="1" applyFont="1" applyFill="1" applyBorder="1" applyAlignment="1">
      <alignment vertical="center"/>
    </xf>
    <xf numFmtId="6" fontId="2" fillId="0" borderId="0" xfId="0" applyNumberFormat="1" applyFont="1" applyAlignment="1">
      <alignment vertical="center"/>
    </xf>
    <xf numFmtId="44" fontId="2" fillId="0" borderId="5" xfId="0" applyNumberFormat="1" applyFont="1" applyBorder="1" applyAlignment="1">
      <alignment vertical="center"/>
    </xf>
    <xf numFmtId="0" fontId="1" fillId="3" borderId="5" xfId="0" applyFont="1" applyFill="1" applyBorder="1" applyAlignment="1">
      <alignment horizontal="center" vertical="center"/>
    </xf>
    <xf numFmtId="0" fontId="1" fillId="3" borderId="5" xfId="0" applyFont="1" applyFill="1" applyBorder="1" applyAlignment="1">
      <alignment horizontal="center" vertical="center" wrapText="1"/>
    </xf>
    <xf numFmtId="164" fontId="1" fillId="3" borderId="5" xfId="0" applyNumberFormat="1" applyFont="1" applyFill="1" applyBorder="1" applyAlignment="1">
      <alignment vertical="center"/>
    </xf>
    <xf numFmtId="0" fontId="1" fillId="3" borderId="5" xfId="0" applyFont="1" applyFill="1" applyBorder="1" applyAlignment="1">
      <alignment horizontal="left" vertical="center" indent="1"/>
    </xf>
    <xf numFmtId="0" fontId="2" fillId="0" borderId="5" xfId="0" applyFont="1" applyBorder="1" applyAlignment="1">
      <alignment horizontal="left" vertical="center" indent="1"/>
    </xf>
    <xf numFmtId="0" fontId="2" fillId="0" borderId="5" xfId="0" applyFont="1" applyBorder="1" applyAlignment="1">
      <alignment horizontal="left" vertical="center" wrapText="1" indent="1"/>
    </xf>
    <xf numFmtId="0" fontId="1" fillId="0" borderId="0" xfId="0" applyFont="1" applyAlignment="1">
      <alignment vertical="center"/>
    </xf>
    <xf numFmtId="0" fontId="1" fillId="2" borderId="5" xfId="0" applyFont="1" applyFill="1" applyBorder="1" applyAlignment="1">
      <alignment horizontal="left" vertical="center" indent="1"/>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164" fontId="1" fillId="2" borderId="5" xfId="0" applyNumberFormat="1" applyFont="1" applyFill="1" applyBorder="1" applyAlignment="1">
      <alignment vertical="center"/>
    </xf>
    <xf numFmtId="164" fontId="9" fillId="0" borderId="0" xfId="0" applyNumberFormat="1" applyFont="1" applyAlignment="1">
      <alignment vertical="center"/>
    </xf>
    <xf numFmtId="0" fontId="6" fillId="0" borderId="0" xfId="0" applyFont="1" applyAlignment="1">
      <alignment vertical="center"/>
    </xf>
    <xf numFmtId="0" fontId="10" fillId="0" borderId="0" xfId="0" applyFont="1" applyAlignment="1">
      <alignment vertical="center"/>
    </xf>
    <xf numFmtId="44" fontId="2" fillId="0" borderId="5" xfId="1" applyFont="1" applyFill="1" applyBorder="1" applyAlignment="1">
      <alignment vertical="center"/>
    </xf>
    <xf numFmtId="6" fontId="2" fillId="0" borderId="5" xfId="0" applyNumberFormat="1" applyFont="1" applyBorder="1" applyAlignment="1">
      <alignment vertical="center"/>
    </xf>
    <xf numFmtId="3" fontId="2" fillId="0" borderId="5" xfId="1" applyNumberFormat="1" applyFont="1" applyFill="1" applyBorder="1" applyAlignment="1">
      <alignment vertical="center"/>
    </xf>
    <xf numFmtId="164" fontId="2" fillId="0" borderId="5" xfId="0" applyNumberFormat="1" applyFont="1" applyBorder="1" applyAlignment="1">
      <alignment vertical="center"/>
    </xf>
    <xf numFmtId="164" fontId="2" fillId="0" borderId="5" xfId="1" applyNumberFormat="1" applyFont="1" applyFill="1" applyBorder="1" applyAlignment="1">
      <alignment vertical="center"/>
    </xf>
    <xf numFmtId="0" fontId="7" fillId="0" borderId="0" xfId="0" applyFont="1" applyAlignment="1">
      <alignment vertical="center"/>
    </xf>
    <xf numFmtId="6" fontId="1" fillId="0" borderId="0" xfId="0" applyNumberFormat="1" applyFont="1" applyAlignment="1">
      <alignment vertical="center"/>
    </xf>
    <xf numFmtId="1" fontId="1" fillId="0" borderId="0" xfId="0" applyNumberFormat="1" applyFont="1" applyAlignment="1">
      <alignment vertical="center"/>
    </xf>
    <xf numFmtId="0" fontId="11" fillId="2" borderId="0" xfId="0" applyFont="1" applyFill="1" applyAlignment="1">
      <alignment horizontal="left" vertical="center"/>
    </xf>
    <xf numFmtId="165" fontId="8" fillId="3" borderId="0" xfId="0" applyNumberFormat="1" applyFont="1" applyFill="1" applyAlignment="1">
      <alignment vertical="center"/>
    </xf>
    <xf numFmtId="165" fontId="8" fillId="3" borderId="8" xfId="0" applyNumberFormat="1" applyFont="1" applyFill="1" applyBorder="1" applyAlignment="1">
      <alignment vertical="center"/>
    </xf>
    <xf numFmtId="9" fontId="2" fillId="3" borderId="0" xfId="3" applyFont="1" applyFill="1" applyAlignment="1">
      <alignment vertical="center"/>
    </xf>
    <xf numFmtId="9" fontId="2" fillId="3" borderId="8" xfId="3" applyFont="1" applyFill="1" applyBorder="1" applyAlignment="1">
      <alignment vertical="center"/>
    </xf>
    <xf numFmtId="0" fontId="8" fillId="3" borderId="0" xfId="0" applyFont="1" applyFill="1" applyAlignment="1">
      <alignment horizontal="left" vertical="center" indent="1"/>
    </xf>
    <xf numFmtId="0" fontId="2" fillId="3" borderId="0" xfId="0" applyFont="1" applyFill="1" applyAlignment="1">
      <alignment horizontal="left" vertical="center" indent="1"/>
    </xf>
    <xf numFmtId="0" fontId="11" fillId="0" borderId="0" xfId="0" applyFont="1" applyAlignment="1">
      <alignment vertical="center" wrapText="1"/>
    </xf>
    <xf numFmtId="165" fontId="2" fillId="3" borderId="0" xfId="2" applyNumberFormat="1" applyFont="1" applyFill="1" applyAlignment="1">
      <alignment vertical="center"/>
    </xf>
    <xf numFmtId="165" fontId="2" fillId="3" borderId="8" xfId="2" applyNumberFormat="1" applyFont="1" applyFill="1" applyBorder="1" applyAlignment="1">
      <alignment vertical="center"/>
    </xf>
    <xf numFmtId="165" fontId="2" fillId="3" borderId="0" xfId="0" applyNumberFormat="1" applyFont="1" applyFill="1" applyAlignment="1">
      <alignment vertical="center" wrapText="1"/>
    </xf>
    <xf numFmtId="0" fontId="2" fillId="3" borderId="7" xfId="0" applyFont="1" applyFill="1" applyBorder="1" applyAlignment="1">
      <alignment horizontal="left" vertical="center" indent="1"/>
    </xf>
    <xf numFmtId="165" fontId="2" fillId="3" borderId="7" xfId="2" applyNumberFormat="1" applyFont="1" applyFill="1" applyBorder="1" applyAlignment="1">
      <alignment vertical="center"/>
    </xf>
    <xf numFmtId="165" fontId="2" fillId="3" borderId="4" xfId="2" applyNumberFormat="1" applyFont="1" applyFill="1" applyBorder="1" applyAlignment="1">
      <alignment vertical="center"/>
    </xf>
    <xf numFmtId="165" fontId="2" fillId="3" borderId="7" xfId="0" applyNumberFormat="1" applyFont="1" applyFill="1" applyBorder="1" applyAlignment="1">
      <alignment vertical="center" wrapText="1"/>
    </xf>
    <xf numFmtId="165" fontId="2" fillId="3" borderId="0" xfId="0" applyNumberFormat="1" applyFont="1" applyFill="1" applyAlignment="1">
      <alignment vertical="center"/>
    </xf>
    <xf numFmtId="165" fontId="2" fillId="3" borderId="8" xfId="0" applyNumberFormat="1" applyFont="1" applyFill="1" applyBorder="1" applyAlignment="1">
      <alignment vertical="center"/>
    </xf>
    <xf numFmtId="0" fontId="2" fillId="3" borderId="0" xfId="0" applyFont="1" applyFill="1" applyAlignment="1">
      <alignment horizontal="left" indent="1"/>
    </xf>
    <xf numFmtId="165" fontId="5" fillId="3" borderId="0" xfId="2" applyNumberFormat="1" applyFont="1" applyFill="1"/>
    <xf numFmtId="166" fontId="0" fillId="0" borderId="0" xfId="3" applyNumberFormat="1" applyFont="1"/>
    <xf numFmtId="10" fontId="5" fillId="3" borderId="0" xfId="3" applyNumberFormat="1" applyFont="1" applyFill="1"/>
    <xf numFmtId="10" fontId="5" fillId="3" borderId="8" xfId="3" applyNumberFormat="1" applyFont="1" applyFill="1" applyBorder="1"/>
    <xf numFmtId="0" fontId="2" fillId="5" borderId="5" xfId="0" applyFont="1" applyFill="1" applyBorder="1" applyAlignment="1">
      <alignment vertical="center"/>
    </xf>
    <xf numFmtId="44" fontId="2" fillId="5" borderId="5" xfId="1" applyFont="1" applyFill="1" applyBorder="1" applyAlignment="1">
      <alignment vertical="center"/>
    </xf>
    <xf numFmtId="6" fontId="2" fillId="5" borderId="5" xfId="0" applyNumberFormat="1" applyFont="1" applyFill="1" applyBorder="1" applyAlignment="1">
      <alignment vertical="center"/>
    </xf>
    <xf numFmtId="44" fontId="2" fillId="5" borderId="5" xfId="0" applyNumberFormat="1" applyFont="1" applyFill="1" applyBorder="1" applyAlignment="1">
      <alignment vertical="center"/>
    </xf>
    <xf numFmtId="0" fontId="3" fillId="5" borderId="5" xfId="0" applyFont="1" applyFill="1" applyBorder="1" applyAlignment="1">
      <alignment vertical="center"/>
    </xf>
    <xf numFmtId="0" fontId="3" fillId="3" borderId="5" xfId="0" applyFont="1" applyFill="1" applyBorder="1" applyAlignment="1">
      <alignment horizontal="left" vertical="center" indent="1"/>
    </xf>
    <xf numFmtId="0" fontId="3" fillId="2" borderId="5" xfId="0" applyFont="1" applyFill="1" applyBorder="1" applyAlignment="1">
      <alignment horizontal="left" vertical="center" indent="1"/>
    </xf>
    <xf numFmtId="0" fontId="2" fillId="5" borderId="5" xfId="0" applyFont="1" applyFill="1" applyBorder="1" applyAlignment="1">
      <alignment horizontal="center" vertical="center"/>
    </xf>
    <xf numFmtId="0" fontId="2" fillId="5" borderId="5" xfId="0" applyFont="1" applyFill="1" applyBorder="1" applyAlignment="1">
      <alignment horizontal="left" vertical="center" wrapText="1" indent="1"/>
    </xf>
    <xf numFmtId="164" fontId="14" fillId="0" borderId="0" xfId="1" applyNumberFormat="1" applyFont="1" applyAlignment="1">
      <alignment vertical="center"/>
    </xf>
    <xf numFmtId="0" fontId="15" fillId="0" borderId="0" xfId="0" applyFont="1" applyAlignment="1">
      <alignment vertical="center"/>
    </xf>
    <xf numFmtId="0" fontId="0" fillId="0" borderId="5" xfId="0" applyBorder="1" applyAlignment="1">
      <alignment horizontal="left" vertical="center" wrapText="1" indent="1"/>
    </xf>
    <xf numFmtId="0" fontId="0" fillId="5" borderId="5" xfId="0" applyFill="1" applyBorder="1" applyAlignment="1">
      <alignment horizontal="left" vertical="center" wrapText="1" indent="1"/>
    </xf>
    <xf numFmtId="0" fontId="3" fillId="7" borderId="1" xfId="0" applyFont="1" applyFill="1" applyBorder="1" applyAlignment="1">
      <alignment horizontal="center" vertical="center"/>
    </xf>
    <xf numFmtId="0" fontId="3" fillId="7" borderId="4" xfId="0" applyFont="1" applyFill="1" applyBorder="1" applyAlignment="1">
      <alignment vertical="center"/>
    </xf>
    <xf numFmtId="0" fontId="3" fillId="7" borderId="3" xfId="0" applyFont="1" applyFill="1" applyBorder="1" applyAlignment="1">
      <alignment vertical="center"/>
    </xf>
    <xf numFmtId="0" fontId="6" fillId="0" borderId="5" xfId="0" applyFont="1" applyBorder="1" applyAlignment="1">
      <alignment horizontal="center" vertical="center"/>
    </xf>
    <xf numFmtId="0" fontId="6" fillId="5" borderId="5" xfId="0" applyFont="1" applyFill="1" applyBorder="1" applyAlignment="1">
      <alignment horizontal="center" vertical="center"/>
    </xf>
    <xf numFmtId="0" fontId="10" fillId="0" borderId="5" xfId="0" applyFont="1" applyBorder="1" applyAlignment="1">
      <alignment horizontal="center" vertical="center"/>
    </xf>
    <xf numFmtId="0" fontId="10" fillId="5" borderId="5" xfId="0" applyFont="1" applyFill="1" applyBorder="1" applyAlignment="1">
      <alignment horizontal="center" vertical="center"/>
    </xf>
    <xf numFmtId="0" fontId="10" fillId="0" borderId="5" xfId="0" applyFont="1" applyBorder="1" applyAlignment="1">
      <alignment horizontal="left" vertical="center" wrapText="1" indent="1"/>
    </xf>
    <xf numFmtId="0" fontId="10" fillId="5" borderId="5" xfId="0" applyFont="1" applyFill="1" applyBorder="1" applyAlignment="1">
      <alignment horizontal="left" vertical="center" wrapText="1" indent="1"/>
    </xf>
    <xf numFmtId="0" fontId="0" fillId="0" borderId="0" xfId="0" applyAlignment="1">
      <alignment horizontal="left" vertical="center"/>
    </xf>
    <xf numFmtId="0" fontId="19" fillId="0" borderId="0" xfId="0" applyFont="1" applyAlignment="1">
      <alignment vertical="center"/>
    </xf>
    <xf numFmtId="0" fontId="3" fillId="0" borderId="0" xfId="0" applyFont="1" applyAlignment="1">
      <alignment vertical="center"/>
    </xf>
    <xf numFmtId="0" fontId="3" fillId="0" borderId="0" xfId="0" applyFont="1"/>
    <xf numFmtId="0" fontId="1" fillId="0" borderId="5" xfId="0" applyFont="1" applyBorder="1" applyAlignment="1">
      <alignment horizontal="center" vertical="center"/>
    </xf>
    <xf numFmtId="0" fontId="12" fillId="4" borderId="5" xfId="0" applyFont="1" applyFill="1" applyBorder="1" applyAlignment="1">
      <alignment horizontal="center" vertical="center"/>
    </xf>
    <xf numFmtId="0" fontId="0" fillId="0" borderId="0" xfId="0" applyAlignment="1">
      <alignment horizontal="left" vertical="top" wrapText="1" indent="2"/>
    </xf>
    <xf numFmtId="0" fontId="0" fillId="0" borderId="0" xfId="0" applyAlignment="1">
      <alignment horizontal="left" wrapText="1" indent="2"/>
    </xf>
    <xf numFmtId="0" fontId="12" fillId="6" borderId="5" xfId="0" applyFont="1" applyFill="1" applyBorder="1" applyAlignment="1">
      <alignment horizontal="left" vertical="center" indent="1"/>
    </xf>
    <xf numFmtId="0" fontId="17" fillId="6" borderId="5" xfId="0" applyFont="1" applyFill="1" applyBorder="1" applyAlignment="1">
      <alignment horizontal="left" vertical="center" indent="1"/>
    </xf>
    <xf numFmtId="0" fontId="18" fillId="7" borderId="5"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6" xfId="0" applyFont="1" applyFill="1" applyBorder="1" applyAlignment="1">
      <alignment horizontal="center" vertical="center"/>
    </xf>
    <xf numFmtId="0" fontId="16" fillId="6" borderId="1" xfId="0" applyFont="1" applyFill="1" applyBorder="1" applyAlignment="1">
      <alignment horizontal="center" vertical="center"/>
    </xf>
    <xf numFmtId="0" fontId="16" fillId="6" borderId="4"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9"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8" fillId="7" borderId="9" xfId="0" applyFont="1" applyFill="1" applyBorder="1" applyAlignment="1">
      <alignment horizontal="center" vertical="center"/>
    </xf>
    <xf numFmtId="0" fontId="18" fillId="7" borderId="10" xfId="0" applyFont="1" applyFill="1" applyBorder="1" applyAlignment="1">
      <alignment horizontal="center" vertical="center"/>
    </xf>
    <xf numFmtId="0" fontId="18" fillId="7" borderId="9" xfId="0" applyFont="1" applyFill="1" applyBorder="1" applyAlignment="1">
      <alignment horizontal="center" vertical="center" wrapText="1"/>
    </xf>
    <xf numFmtId="0" fontId="18" fillId="7" borderId="10" xfId="0" applyFont="1" applyFill="1" applyBorder="1" applyAlignment="1">
      <alignment horizontal="center" vertical="center" wrapText="1"/>
    </xf>
  </cellXfs>
  <cellStyles count="4">
    <cellStyle name="Comma" xfId="2" builtinId="3"/>
    <cellStyle name="Currency" xfId="1" builtinId="4"/>
    <cellStyle name="Normal" xfId="0" builtinId="0"/>
    <cellStyle name="Percent" xfId="3" builtinId="5"/>
  </cellStyles>
  <dxfs count="4">
    <dxf>
      <font>
        <color rgb="FF006100"/>
      </font>
      <fill>
        <patternFill>
          <bgColor rgb="FFC6EFCE"/>
        </patternFill>
      </fill>
    </dxf>
    <dxf>
      <font>
        <color rgb="FFFFFF00"/>
      </font>
      <fill>
        <patternFill>
          <bgColor rgb="FFC00000"/>
        </patternFill>
      </fill>
    </dxf>
    <dxf>
      <font>
        <color rgb="FF006100"/>
      </font>
      <fill>
        <patternFill>
          <bgColor rgb="FFC6EFCE"/>
        </patternFill>
      </fill>
    </dxf>
    <dxf>
      <font>
        <color rgb="FFFFFF0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20217-33D5-4D54-954C-1DE3C79DC5D9}">
  <sheetPr>
    <tabColor theme="3" tint="9.9978637043366805E-2"/>
  </sheetPr>
  <dimension ref="B1:AB27"/>
  <sheetViews>
    <sheetView showGridLines="0" zoomScale="130" zoomScaleNormal="130" workbookViewId="0">
      <pane xSplit="2" ySplit="3" topLeftCell="C4" activePane="bottomRight" state="frozen"/>
      <selection pane="topRight" activeCell="C1" sqref="C1"/>
      <selection pane="bottomLeft" activeCell="A5" sqref="A5"/>
      <selection pane="bottomRight" activeCell="J18" sqref="J18"/>
    </sheetView>
  </sheetViews>
  <sheetFormatPr defaultRowHeight="15" customHeight="1" x14ac:dyDescent="0.25"/>
  <cols>
    <col min="1" max="1" width="3.42578125" customWidth="1"/>
    <col min="2" max="2" width="35" customWidth="1"/>
    <col min="3" max="6" width="13.42578125" customWidth="1"/>
    <col min="7" max="7" width="2.42578125" customWidth="1"/>
    <col min="8" max="11" width="11.7109375" customWidth="1"/>
    <col min="12" max="12" width="2.42578125" customWidth="1"/>
    <col min="13" max="13" width="27.85546875" customWidth="1"/>
    <col min="14" max="14" width="98" customWidth="1"/>
    <col min="15" max="16" width="13.85546875" bestFit="1" customWidth="1"/>
    <col min="18" max="18" width="12.42578125" bestFit="1" customWidth="1"/>
    <col min="19" max="19" width="12.5703125" bestFit="1" customWidth="1"/>
    <col min="21" max="21" width="11.42578125" bestFit="1" customWidth="1"/>
    <col min="22" max="22" width="12.5703125" bestFit="1" customWidth="1"/>
    <col min="23" max="23" width="17.5703125" customWidth="1"/>
    <col min="24" max="24" width="41.42578125" customWidth="1"/>
    <col min="25" max="25" width="16.85546875" bestFit="1" customWidth="1"/>
    <col min="26" max="26" width="21.5703125" customWidth="1"/>
    <col min="27" max="29" width="17.5703125" customWidth="1"/>
    <col min="30" max="30" width="34.5703125" customWidth="1"/>
  </cols>
  <sheetData>
    <row r="1" spans="2:28" ht="31.5" customHeight="1" x14ac:dyDescent="0.25">
      <c r="C1" s="20" t="s">
        <v>54</v>
      </c>
      <c r="H1" s="20" t="s">
        <v>55</v>
      </c>
    </row>
    <row r="2" spans="2:28" ht="27.75" customHeight="1" x14ac:dyDescent="0.25">
      <c r="B2" s="20"/>
      <c r="C2" s="102" t="s">
        <v>60</v>
      </c>
      <c r="D2" s="102"/>
      <c r="E2" s="102"/>
      <c r="F2" s="102"/>
      <c r="H2" s="103" t="s">
        <v>53</v>
      </c>
      <c r="I2" s="103"/>
      <c r="J2" s="103"/>
      <c r="K2" s="103"/>
      <c r="M2" s="20"/>
      <c r="N2" s="20"/>
      <c r="O2" s="20"/>
      <c r="P2" s="20"/>
      <c r="Q2" s="20"/>
    </row>
    <row r="3" spans="2:28" s="7" customFormat="1" ht="30.6" customHeight="1" x14ac:dyDescent="0.25">
      <c r="B3" s="35" t="s">
        <v>2</v>
      </c>
      <c r="C3" s="32">
        <v>2024</v>
      </c>
      <c r="D3" s="32">
        <v>2025</v>
      </c>
      <c r="E3" s="32">
        <v>2026</v>
      </c>
      <c r="F3" s="33" t="s">
        <v>18</v>
      </c>
      <c r="H3" s="32">
        <v>2024</v>
      </c>
      <c r="I3" s="32">
        <v>2025</v>
      </c>
      <c r="J3" s="32">
        <v>2026</v>
      </c>
      <c r="K3" s="33" t="s">
        <v>18</v>
      </c>
      <c r="M3" s="21"/>
      <c r="N3" s="21"/>
      <c r="O3" s="21"/>
      <c r="P3" s="21"/>
      <c r="Q3" s="21"/>
    </row>
    <row r="4" spans="2:28" ht="20.100000000000001" customHeight="1" x14ac:dyDescent="0.25">
      <c r="B4" s="14" t="s">
        <v>0</v>
      </c>
      <c r="C4" s="15">
        <f>'Additional Details'!L5</f>
        <v>1173111</v>
      </c>
      <c r="D4" s="15">
        <f>('Additional Details'!O5+'Additional Details'!O6)</f>
        <v>8361600</v>
      </c>
      <c r="E4" s="15">
        <f>'Additional Details'!R5+'Additional Details'!R6</f>
        <v>8777600</v>
      </c>
      <c r="F4" s="34">
        <f>SUM(C4:E4)</f>
        <v>18312311</v>
      </c>
      <c r="H4" s="15">
        <f t="shared" ref="H4:H9" si="0">(C4+(C4*C$16*C$17))/1000</f>
        <v>1176.1278938694202</v>
      </c>
      <c r="I4" s="15">
        <f t="shared" ref="I4:J9" si="1">(D4+(D4*D$16*D$17))*1.03/1000</f>
        <v>8681.2848387598242</v>
      </c>
      <c r="J4" s="15">
        <f t="shared" si="1"/>
        <v>9104.0889667344763</v>
      </c>
      <c r="K4" s="34">
        <f>SUM(H4:J4)</f>
        <v>18961.501699363718</v>
      </c>
      <c r="M4" s="20"/>
      <c r="N4" s="20"/>
      <c r="O4" s="20"/>
      <c r="P4" s="20"/>
      <c r="Q4" s="20"/>
    </row>
    <row r="5" spans="2:28" ht="20.100000000000001" customHeight="1" x14ac:dyDescent="0.25">
      <c r="B5" s="37" t="s">
        <v>13</v>
      </c>
      <c r="C5" s="15">
        <f>'Additional Details'!L4</f>
        <v>0</v>
      </c>
      <c r="D5" s="15">
        <f>'Additional Details'!O4</f>
        <v>2496000</v>
      </c>
      <c r="E5" s="15">
        <f>'Additional Details'!R4</f>
        <v>4576000</v>
      </c>
      <c r="F5" s="34">
        <f>SUM(C5:E5)</f>
        <v>7072000</v>
      </c>
      <c r="H5" s="15">
        <f t="shared" si="0"/>
        <v>0</v>
      </c>
      <c r="I5" s="15">
        <f t="shared" si="1"/>
        <v>2591.4283100775601</v>
      </c>
      <c r="J5" s="15">
        <f t="shared" si="1"/>
        <v>4746.2075182028084</v>
      </c>
      <c r="K5" s="34">
        <f t="shared" ref="K5:K9" si="2">SUM(H5:J5)</f>
        <v>7337.6358282803685</v>
      </c>
      <c r="M5" s="20"/>
      <c r="N5" s="20"/>
      <c r="O5" s="20"/>
      <c r="P5" s="20"/>
      <c r="Q5" s="20"/>
    </row>
    <row r="6" spans="2:28" ht="20.100000000000001" customHeight="1" x14ac:dyDescent="0.25">
      <c r="B6" s="37" t="s">
        <v>12</v>
      </c>
      <c r="C6" s="15">
        <f>'Additional Details'!L10</f>
        <v>0</v>
      </c>
      <c r="D6" s="15">
        <f>'Additional Details'!O10+'Additional Details'!O11</f>
        <v>1211600</v>
      </c>
      <c r="E6" s="15">
        <f>'Additional Details'!R10+'Additional Details'!R11</f>
        <v>3369600</v>
      </c>
      <c r="F6" s="34">
        <f>SUM(D6:E6)</f>
        <v>4581200</v>
      </c>
      <c r="H6" s="15">
        <f t="shared" si="0"/>
        <v>0</v>
      </c>
      <c r="I6" s="15">
        <f t="shared" si="1"/>
        <v>1257.9224921834821</v>
      </c>
      <c r="J6" s="15">
        <f t="shared" si="1"/>
        <v>3494.9346270402498</v>
      </c>
      <c r="K6" s="34">
        <f t="shared" si="2"/>
        <v>4752.8571192237323</v>
      </c>
      <c r="M6" s="20"/>
      <c r="N6" s="20"/>
      <c r="O6" s="20"/>
      <c r="P6" s="20"/>
      <c r="Q6" s="20"/>
    </row>
    <row r="7" spans="2:28" ht="20.100000000000001" customHeight="1" x14ac:dyDescent="0.25">
      <c r="B7" s="36" t="s">
        <v>11</v>
      </c>
      <c r="C7" s="15">
        <f>('Additional Details'!L12+'Additional Details'!L13)</f>
        <v>0</v>
      </c>
      <c r="D7" s="15">
        <f>SUM('Additional Details'!O12:O13)</f>
        <v>1476800</v>
      </c>
      <c r="E7" s="15">
        <f>SUM('Additional Details'!R12:R13)</f>
        <v>5449600</v>
      </c>
      <c r="F7" s="34">
        <f>SUM(C7:E7)</f>
        <v>6926400</v>
      </c>
      <c r="H7" s="15">
        <f t="shared" si="0"/>
        <v>0</v>
      </c>
      <c r="I7" s="15">
        <f t="shared" si="1"/>
        <v>1533.2617501292229</v>
      </c>
      <c r="J7" s="15">
        <f t="shared" si="1"/>
        <v>5652.3016807687991</v>
      </c>
      <c r="K7" s="34">
        <f t="shared" si="2"/>
        <v>7185.5634308980225</v>
      </c>
      <c r="M7" s="20"/>
      <c r="N7" s="20"/>
      <c r="O7" s="20"/>
      <c r="P7" s="20"/>
      <c r="Q7" s="20"/>
    </row>
    <row r="8" spans="2:28" ht="20.100000000000001" customHeight="1" x14ac:dyDescent="0.25">
      <c r="B8" s="14" t="s">
        <v>8</v>
      </c>
      <c r="C8" s="15">
        <f>'Additional Details'!L7</f>
        <v>0</v>
      </c>
      <c r="D8" s="15">
        <f>'Additional Details'!O7</f>
        <v>1456000</v>
      </c>
      <c r="E8" s="15">
        <f>'Additional Details'!R7</f>
        <v>7072000</v>
      </c>
      <c r="F8" s="34">
        <f t="shared" ref="F8" si="3">SUM(C8:E8)</f>
        <v>8528000</v>
      </c>
      <c r="H8" s="15">
        <f t="shared" si="0"/>
        <v>0</v>
      </c>
      <c r="I8" s="15">
        <f t="shared" si="1"/>
        <v>1511.6665142119098</v>
      </c>
      <c r="J8" s="15">
        <f t="shared" si="1"/>
        <v>7335.047982677067</v>
      </c>
      <c r="K8" s="34">
        <f t="shared" si="2"/>
        <v>8846.714496888977</v>
      </c>
      <c r="M8" s="20"/>
      <c r="N8" s="20"/>
      <c r="O8" s="20"/>
      <c r="P8" s="20"/>
      <c r="Q8" s="20"/>
    </row>
    <row r="9" spans="2:28" ht="20.100000000000001" customHeight="1" x14ac:dyDescent="0.25">
      <c r="B9" s="14" t="s">
        <v>9</v>
      </c>
      <c r="C9" s="15">
        <f>('Additional Details'!L8+'Additional Details'!L9)</f>
        <v>298285</v>
      </c>
      <c r="D9" s="15">
        <f>'Additional Details'!O8+'Additional Details'!O9</f>
        <v>1021800</v>
      </c>
      <c r="E9" s="15">
        <f>'Additional Details'!R8+'Additional Details'!R9</f>
        <v>4087200</v>
      </c>
      <c r="F9" s="34">
        <f>SUM(C9:E9)</f>
        <v>5407285</v>
      </c>
      <c r="H9" s="15">
        <f t="shared" si="0"/>
        <v>299.05210063057973</v>
      </c>
      <c r="I9" s="15">
        <f t="shared" si="1"/>
        <v>1060.8659644380009</v>
      </c>
      <c r="J9" s="15">
        <f t="shared" si="1"/>
        <v>4239.2262605765991</v>
      </c>
      <c r="K9" s="34">
        <f t="shared" si="2"/>
        <v>5599.1443256451803</v>
      </c>
      <c r="M9" s="20"/>
      <c r="N9" s="20"/>
      <c r="O9" s="20"/>
      <c r="P9" s="20"/>
      <c r="Q9" s="20"/>
    </row>
    <row r="10" spans="2:28" ht="20.100000000000001" customHeight="1" x14ac:dyDescent="0.25">
      <c r="B10" s="81" t="s">
        <v>61</v>
      </c>
      <c r="C10" s="34">
        <f>SUM(C4:C9)</f>
        <v>1471396</v>
      </c>
      <c r="D10" s="34">
        <f>SUM(D4:D9)</f>
        <v>16023800</v>
      </c>
      <c r="E10" s="34">
        <f>SUM(E4:E9)</f>
        <v>33332000</v>
      </c>
      <c r="F10" s="34">
        <f>SUM(F4:F9)</f>
        <v>50827196</v>
      </c>
      <c r="H10" s="34">
        <f>SUM(H4:H9)</f>
        <v>1475.1799944999998</v>
      </c>
      <c r="I10" s="34">
        <f>SUM(I4:I9)</f>
        <v>16636.429869800002</v>
      </c>
      <c r="J10" s="34">
        <f>SUM(J4:J9)</f>
        <v>34571.807035999998</v>
      </c>
      <c r="K10" s="34">
        <f>SUM(K4:K9)</f>
        <v>52683.416900300006</v>
      </c>
      <c r="M10" s="20"/>
      <c r="N10" s="20"/>
      <c r="O10" s="20"/>
      <c r="P10" s="20"/>
      <c r="Q10" s="20"/>
    </row>
    <row r="11" spans="2:28" s="2" customFormat="1" ht="9.9499999999999993" customHeight="1" x14ac:dyDescent="0.25">
      <c r="B11" s="22"/>
      <c r="C11" s="23"/>
      <c r="D11" s="23"/>
      <c r="E11" s="23"/>
      <c r="F11" s="24"/>
      <c r="G11" s="8"/>
      <c r="H11"/>
      <c r="I11"/>
      <c r="J11"/>
      <c r="K11" s="26"/>
      <c r="L11" s="8"/>
      <c r="M11" s="25"/>
      <c r="N11" s="25"/>
      <c r="O11" s="25"/>
      <c r="P11" s="25"/>
      <c r="Q11" s="25"/>
      <c r="R11" s="8"/>
      <c r="S11" s="8"/>
      <c r="T11" s="8"/>
      <c r="U11" s="8"/>
      <c r="V11" s="8"/>
      <c r="W11" s="8"/>
      <c r="X11" s="8"/>
      <c r="Y11" s="8"/>
      <c r="Z11" s="8"/>
      <c r="AA11" s="8"/>
    </row>
    <row r="12" spans="2:28" s="2" customFormat="1" ht="15" customHeight="1" x14ac:dyDescent="0.25">
      <c r="B12" s="60" t="s">
        <v>14</v>
      </c>
      <c r="C12" s="62">
        <f>SUMIFS('Additional Details'!$L$4:$L$16,'Additional Details'!$B$4:$B$16,"Labor",'Additional Details'!$C$4:$C$16,"Include")</f>
        <v>27885</v>
      </c>
      <c r="D12" s="62">
        <f>SUMIFS('Additional Details'!$O$4:$O$16,'Additional Details'!$B$4:$B$16,"Labor",'Additional Details'!$C$4:$C$16,"Include")</f>
        <v>943800</v>
      </c>
      <c r="E12" s="63">
        <f>SUMIFS('Additional Details'!$R$4:$R$16,'Additional Details'!$B$4:$B$16,"Labor",'Additional Details'!$C$4:$C$16,"Include")</f>
        <v>1716000</v>
      </c>
      <c r="F12" s="64">
        <f>SUM(C12:E12)</f>
        <v>2687685</v>
      </c>
      <c r="G12" s="3"/>
      <c r="H12"/>
      <c r="I12"/>
      <c r="J12"/>
      <c r="K12" s="26"/>
      <c r="L12" s="3"/>
      <c r="M12" s="100"/>
      <c r="N12" s="100"/>
      <c r="O12" s="100"/>
      <c r="P12" s="100"/>
      <c r="Q12" s="100"/>
      <c r="R12" s="101"/>
      <c r="S12" s="101"/>
      <c r="T12" s="101"/>
      <c r="U12" s="3"/>
      <c r="V12" s="3"/>
      <c r="W12" s="5"/>
      <c r="X12" s="5"/>
      <c r="Y12" s="5"/>
      <c r="Z12" s="5"/>
      <c r="AA12" s="5"/>
    </row>
    <row r="13" spans="2:28" s="2" customFormat="1" ht="15" customHeight="1" x14ac:dyDescent="0.25">
      <c r="B13" s="65" t="s">
        <v>15</v>
      </c>
      <c r="C13" s="66">
        <f>SUMIFS('Additional Details'!$L$4:$L$16,'Additional Details'!$B$4:$B$16,"Non-Labor",'Additional Details'!$C$4:$C$16,"Include")</f>
        <v>1443511</v>
      </c>
      <c r="D13" s="66">
        <f>SUMIFS('Additional Details'!$O$4:$O$16,'Additional Details'!$B$4:$B$16,"Non-Labor",'Additional Details'!$C$4:$C$16,"Include")</f>
        <v>15080000</v>
      </c>
      <c r="E13" s="67">
        <f>SUMIFS('Additional Details'!$R$4:$R$16,'Additional Details'!$B$4:$B$16,"Non-Labor",'Additional Details'!$C$4:$C$16,"Include")</f>
        <v>31616000</v>
      </c>
      <c r="F13" s="68">
        <f>SUM(C13:E13)</f>
        <v>48139511</v>
      </c>
      <c r="G13" s="3"/>
      <c r="H13"/>
      <c r="I13"/>
      <c r="J13"/>
      <c r="K13" s="26"/>
      <c r="L13" s="3"/>
      <c r="M13" s="27"/>
      <c r="N13" s="27"/>
      <c r="O13" s="27"/>
      <c r="P13" s="27"/>
      <c r="Q13" s="27"/>
      <c r="R13" s="3"/>
      <c r="S13" s="3"/>
      <c r="T13" s="3"/>
      <c r="U13" s="3"/>
      <c r="V13" s="3"/>
      <c r="W13" s="3"/>
      <c r="X13" s="5"/>
      <c r="Y13" s="5"/>
      <c r="Z13" s="6"/>
      <c r="AA13" s="6"/>
    </row>
    <row r="14" spans="2:28" s="2" customFormat="1" ht="15" customHeight="1" x14ac:dyDescent="0.25">
      <c r="B14" s="59" t="s">
        <v>16</v>
      </c>
      <c r="C14" s="55">
        <f>SUM(C12:C13)-C10</f>
        <v>0</v>
      </c>
      <c r="D14" s="55">
        <f>SUM(D12:D13)-D10</f>
        <v>0</v>
      </c>
      <c r="E14" s="56">
        <f>SUM(E12:E13)-E10</f>
        <v>0</v>
      </c>
      <c r="F14" s="55">
        <f>SUM(F12:F13)-F10</f>
        <v>0</v>
      </c>
      <c r="G14" s="9"/>
      <c r="H14"/>
      <c r="I14"/>
      <c r="J14"/>
      <c r="K14" s="26"/>
      <c r="L14" s="9"/>
      <c r="M14" s="28"/>
      <c r="N14" s="29"/>
      <c r="O14" s="25"/>
      <c r="P14" s="30"/>
      <c r="Q14" s="30"/>
      <c r="R14" s="8"/>
      <c r="S14" s="9"/>
      <c r="T14" s="9"/>
      <c r="U14" s="9"/>
      <c r="V14" s="1"/>
      <c r="W14" s="1"/>
      <c r="X14" s="8"/>
      <c r="Y14" s="8"/>
      <c r="Z14" s="8"/>
      <c r="AA14" s="8"/>
      <c r="AB14" s="4"/>
    </row>
    <row r="15" spans="2:28" s="2" customFormat="1" ht="9.9499999999999993" customHeight="1" x14ac:dyDescent="0.25">
      <c r="B15" s="60"/>
      <c r="C15" s="69"/>
      <c r="D15" s="69"/>
      <c r="E15" s="70"/>
      <c r="F15" s="69"/>
      <c r="G15" s="9"/>
      <c r="H15"/>
      <c r="I15"/>
      <c r="J15"/>
      <c r="K15" s="26"/>
      <c r="L15" s="9"/>
      <c r="M15" s="28"/>
      <c r="N15" s="29"/>
      <c r="O15" s="25"/>
      <c r="P15" s="30"/>
      <c r="Q15" s="30"/>
      <c r="R15" s="8"/>
      <c r="S15" s="9"/>
      <c r="T15" s="9"/>
      <c r="U15" s="9"/>
      <c r="V15" s="1"/>
      <c r="W15" s="1"/>
      <c r="X15" s="8"/>
      <c r="Y15" s="8"/>
      <c r="Z15" s="8"/>
      <c r="AA15" s="8"/>
      <c r="AB15" s="4"/>
    </row>
    <row r="16" spans="2:28" s="2" customFormat="1" ht="15" customHeight="1" x14ac:dyDescent="0.25">
      <c r="B16" s="60" t="s">
        <v>17</v>
      </c>
      <c r="C16" s="57">
        <f>C12/C10</f>
        <v>1.8951390380291915E-2</v>
      </c>
      <c r="D16" s="57">
        <f>D12/D10</f>
        <v>5.8899886418951809E-2</v>
      </c>
      <c r="E16" s="58">
        <f>E12/E10</f>
        <v>5.1482059282371297E-2</v>
      </c>
      <c r="F16" s="57"/>
      <c r="G16" s="10"/>
      <c r="H16"/>
      <c r="I16"/>
      <c r="J16"/>
      <c r="K16" s="26"/>
      <c r="L16" s="10"/>
      <c r="M16" s="28"/>
      <c r="N16" s="28"/>
      <c r="O16" s="25"/>
      <c r="P16" s="30"/>
      <c r="Q16" s="30"/>
      <c r="R16" s="8"/>
      <c r="S16" s="9"/>
      <c r="T16" s="9"/>
      <c r="U16" s="10"/>
      <c r="V16" s="1"/>
      <c r="W16" s="1"/>
      <c r="X16" s="8"/>
      <c r="Y16" s="8"/>
      <c r="Z16" s="8"/>
      <c r="AA16" s="8"/>
      <c r="AB16" s="4"/>
    </row>
    <row r="17" spans="2:28" x14ac:dyDescent="0.25">
      <c r="B17" s="71" t="s">
        <v>52</v>
      </c>
      <c r="C17" s="74">
        <v>0.13569999999999999</v>
      </c>
      <c r="D17" s="74">
        <v>0.13569999999999999</v>
      </c>
      <c r="E17" s="75">
        <v>0.13569999999999999</v>
      </c>
      <c r="F17" s="72"/>
      <c r="K17" s="61"/>
    </row>
    <row r="18" spans="2:28" s="2" customFormat="1" ht="9.75" customHeight="1" x14ac:dyDescent="0.25">
      <c r="B18" s="22"/>
      <c r="C18" s="23"/>
      <c r="D18" s="23"/>
      <c r="E18" s="23"/>
      <c r="F18" s="24"/>
      <c r="G18" s="8"/>
      <c r="H18"/>
      <c r="I18"/>
      <c r="J18"/>
      <c r="K18" s="26"/>
      <c r="L18" s="8"/>
      <c r="M18"/>
      <c r="N18"/>
      <c r="O18"/>
      <c r="P18"/>
      <c r="Q18"/>
      <c r="R18"/>
      <c r="S18"/>
      <c r="T18"/>
      <c r="U18"/>
      <c r="V18"/>
      <c r="W18"/>
      <c r="X18" s="8"/>
      <c r="Y18" s="8"/>
      <c r="Z18" s="8"/>
      <c r="AA18" s="8"/>
      <c r="AB18" s="8"/>
    </row>
    <row r="19" spans="2:28" s="2" customFormat="1" ht="16.350000000000001" customHeight="1" x14ac:dyDescent="0.25">
      <c r="B19" s="38" t="s">
        <v>62</v>
      </c>
      <c r="C19" s="25"/>
      <c r="D19" s="26"/>
      <c r="E19" s="26"/>
      <c r="F19" s="26"/>
      <c r="G19" s="11"/>
      <c r="H19"/>
      <c r="I19"/>
      <c r="J19"/>
      <c r="K19"/>
      <c r="L19" s="11"/>
      <c r="M19"/>
      <c r="N19"/>
      <c r="O19"/>
      <c r="P19"/>
      <c r="Q19"/>
      <c r="R19"/>
      <c r="S19"/>
      <c r="T19"/>
      <c r="U19"/>
      <c r="V19"/>
      <c r="W19"/>
      <c r="X19" s="12"/>
      <c r="Y19" s="8"/>
      <c r="Z19" s="8"/>
      <c r="AA19" s="4"/>
    </row>
    <row r="20" spans="2:28" s="2" customFormat="1" ht="9.9499999999999993" customHeight="1" x14ac:dyDescent="0.25">
      <c r="B20" s="26"/>
      <c r="C20" s="25"/>
      <c r="D20" s="26"/>
      <c r="E20" s="26"/>
      <c r="F20" s="26"/>
      <c r="G20" s="11"/>
      <c r="H20"/>
      <c r="I20"/>
      <c r="J20"/>
      <c r="K20"/>
      <c r="L20" s="11"/>
      <c r="M20"/>
      <c r="N20"/>
      <c r="O20"/>
      <c r="P20"/>
      <c r="Q20"/>
      <c r="R20"/>
      <c r="S20"/>
      <c r="T20"/>
      <c r="U20"/>
      <c r="V20"/>
      <c r="W20"/>
      <c r="X20" s="12"/>
      <c r="Y20" s="8"/>
      <c r="Z20" s="8"/>
      <c r="AA20" s="4"/>
    </row>
    <row r="21" spans="2:28" s="2" customFormat="1" ht="33" customHeight="1" x14ac:dyDescent="0.25">
      <c r="B21" s="39" t="s">
        <v>2</v>
      </c>
      <c r="C21" s="40">
        <v>2024</v>
      </c>
      <c r="D21" s="40">
        <v>2025</v>
      </c>
      <c r="E21" s="40">
        <v>2026</v>
      </c>
      <c r="F21" s="41" t="s">
        <v>18</v>
      </c>
      <c r="G21" s="11"/>
      <c r="H21"/>
      <c r="I21"/>
      <c r="J21"/>
      <c r="K21"/>
      <c r="L21" s="11"/>
      <c r="M21"/>
      <c r="N21"/>
      <c r="O21"/>
      <c r="P21"/>
      <c r="Q21"/>
      <c r="R21"/>
      <c r="S21"/>
      <c r="T21"/>
      <c r="U21"/>
      <c r="V21"/>
      <c r="W21"/>
      <c r="X21" s="12"/>
      <c r="Y21" s="8"/>
      <c r="Z21" s="8"/>
      <c r="AA21" s="4"/>
    </row>
    <row r="22" spans="2:28" ht="36.75" customHeight="1" x14ac:dyDescent="0.25">
      <c r="B22" s="37" t="s">
        <v>19</v>
      </c>
      <c r="C22" s="15">
        <f>SUM('Additional Details'!L14,'Additional Details'!L15:L16)</f>
        <v>0</v>
      </c>
      <c r="D22" s="15">
        <f>SUM('Additional Details'!O14,'Additional Details'!O15:O16)</f>
        <v>352800</v>
      </c>
      <c r="E22" s="15">
        <f>SUM('Additional Details'!R14,'Additional Details'!R15:R16)</f>
        <v>1007200</v>
      </c>
      <c r="F22" s="42">
        <f>SUM(C22:E22)</f>
        <v>1360000</v>
      </c>
      <c r="H22" s="73"/>
    </row>
    <row r="23" spans="2:28" s="2" customFormat="1" ht="20.100000000000001" customHeight="1" x14ac:dyDescent="0.25">
      <c r="B23" s="82" t="s">
        <v>61</v>
      </c>
      <c r="C23" s="42">
        <f>SUM(C22:C22)</f>
        <v>0</v>
      </c>
      <c r="D23" s="42">
        <f>SUM(D22:D22)</f>
        <v>352800</v>
      </c>
      <c r="E23" s="42">
        <f>SUM(E22:E22)</f>
        <v>1007200</v>
      </c>
      <c r="F23" s="42">
        <f>SUM(F22:F22)</f>
        <v>1360000</v>
      </c>
      <c r="G23" s="8"/>
      <c r="H23"/>
      <c r="I23"/>
      <c r="J23"/>
      <c r="K23"/>
      <c r="L23" s="8"/>
      <c r="M23"/>
      <c r="N23"/>
      <c r="O23"/>
      <c r="P23"/>
      <c r="Q23"/>
      <c r="R23"/>
      <c r="S23"/>
      <c r="T23"/>
      <c r="U23"/>
      <c r="V23"/>
      <c r="W23"/>
      <c r="X23" s="8"/>
      <c r="Y23" s="8"/>
      <c r="Z23" s="8"/>
      <c r="AA23" s="4"/>
    </row>
    <row r="24" spans="2:28" s="2" customFormat="1" ht="9.9499999999999993" customHeight="1" x14ac:dyDescent="0.25">
      <c r="B24" s="25"/>
      <c r="C24" s="25"/>
      <c r="D24" s="26"/>
      <c r="E24" s="26"/>
      <c r="F24" s="26"/>
      <c r="G24" s="8"/>
      <c r="H24"/>
      <c r="I24"/>
      <c r="J24"/>
      <c r="K24"/>
      <c r="L24" s="8"/>
      <c r="M24"/>
      <c r="N24"/>
      <c r="O24"/>
      <c r="P24"/>
      <c r="Q24"/>
      <c r="R24"/>
      <c r="S24"/>
      <c r="T24"/>
      <c r="U24"/>
      <c r="V24"/>
      <c r="W24"/>
      <c r="X24" s="8"/>
      <c r="Y24" s="8"/>
      <c r="Z24" s="8"/>
      <c r="AA24" s="4"/>
    </row>
    <row r="25" spans="2:28" s="2" customFormat="1" x14ac:dyDescent="0.25">
      <c r="B25" s="38" t="s">
        <v>20</v>
      </c>
      <c r="C25" s="43">
        <f>SUM(C23,C10)</f>
        <v>1471396</v>
      </c>
      <c r="D25" s="43">
        <f>SUM(D23,D10)</f>
        <v>16376600</v>
      </c>
      <c r="E25" s="43">
        <f>SUM(E23,E10)</f>
        <v>34339200</v>
      </c>
      <c r="F25" s="43">
        <f>SUM(F23,F10)</f>
        <v>52187196</v>
      </c>
      <c r="G25" s="8"/>
      <c r="H25"/>
      <c r="I25"/>
      <c r="J25"/>
      <c r="K25"/>
      <c r="L25" s="8"/>
      <c r="M25"/>
      <c r="N25"/>
      <c r="O25"/>
      <c r="P25"/>
      <c r="Q25"/>
      <c r="R25"/>
      <c r="S25"/>
      <c r="T25"/>
      <c r="U25"/>
      <c r="V25"/>
      <c r="W25"/>
      <c r="X25" s="8"/>
      <c r="Y25" s="8"/>
      <c r="Z25" s="8"/>
      <c r="AA25" s="4"/>
    </row>
    <row r="26" spans="2:28" s="2" customFormat="1" ht="9.9499999999999993" customHeight="1" x14ac:dyDescent="0.25">
      <c r="B26" s="25"/>
      <c r="C26" s="25"/>
      <c r="D26" s="26"/>
      <c r="E26" s="26"/>
      <c r="F26" s="26"/>
      <c r="G26" s="8"/>
      <c r="H26"/>
      <c r="I26"/>
      <c r="J26"/>
      <c r="K26"/>
      <c r="L26" s="8"/>
      <c r="M26" s="28"/>
      <c r="N26" s="25"/>
      <c r="O26" s="30"/>
      <c r="P26" s="30"/>
      <c r="Q26" s="8"/>
      <c r="R26" s="9"/>
      <c r="S26" s="9"/>
      <c r="T26" s="9"/>
      <c r="U26" s="8"/>
      <c r="V26" s="8"/>
      <c r="W26" s="8"/>
      <c r="X26" s="8"/>
      <c r="Y26" s="8"/>
      <c r="Z26" s="8"/>
      <c r="AA26" s="4"/>
    </row>
    <row r="27" spans="2:28" ht="15" customHeight="1" x14ac:dyDescent="0.25">
      <c r="B27" s="54" t="s">
        <v>16</v>
      </c>
      <c r="C27" s="55">
        <f>C25-'Additional Details'!L17</f>
        <v>0</v>
      </c>
      <c r="D27" s="55">
        <f>D25-'Additional Details'!O17</f>
        <v>0</v>
      </c>
      <c r="E27" s="56">
        <f>E25-'Additional Details'!R17</f>
        <v>0</v>
      </c>
      <c r="F27" s="56">
        <f>F25-'Additional Details'!S17</f>
        <v>0</v>
      </c>
    </row>
  </sheetData>
  <mergeCells count="5">
    <mergeCell ref="O12:Q12"/>
    <mergeCell ref="R12:T12"/>
    <mergeCell ref="C2:F2"/>
    <mergeCell ref="H2:K2"/>
    <mergeCell ref="M12:N12"/>
  </mergeCells>
  <conditionalFormatting sqref="C14:F14">
    <cfRule type="cellIs" dxfId="3" priority="3" operator="notEqual">
      <formula>0</formula>
    </cfRule>
    <cfRule type="cellIs" dxfId="2" priority="4" operator="equal">
      <formula>0</formula>
    </cfRule>
  </conditionalFormatting>
  <conditionalFormatting sqref="C27:F27">
    <cfRule type="cellIs" dxfId="1" priority="1" operator="notEqual">
      <formula>0</formula>
    </cfRule>
    <cfRule type="cellIs" dxfId="0" priority="2"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DC6D-0E52-4D88-A69B-F327C24E998D}">
  <sheetPr>
    <tabColor theme="3" tint="0.89999084444715716"/>
  </sheetPr>
  <dimension ref="B1:DK38"/>
  <sheetViews>
    <sheetView showGridLines="0" tabSelected="1" zoomScale="85" zoomScaleNormal="85" workbookViewId="0">
      <pane xSplit="4" ySplit="3" topLeftCell="E4" activePane="bottomRight" state="frozen"/>
      <selection pane="topRight" activeCell="E1" sqref="E1"/>
      <selection pane="bottomLeft" activeCell="A7" sqref="A7"/>
      <selection pane="bottomRight" activeCell="E22" sqref="E22"/>
    </sheetView>
  </sheetViews>
  <sheetFormatPr defaultRowHeight="15" customHeight="1" x14ac:dyDescent="0.25"/>
  <cols>
    <col min="1" max="1" width="4" customWidth="1"/>
    <col min="2" max="2" width="21.140625" style="13" bestFit="1" customWidth="1"/>
    <col min="3" max="3" width="16.42578125" customWidth="1"/>
    <col min="4" max="4" width="32.140625" customWidth="1"/>
    <col min="5" max="5" width="59.7109375" customWidth="1"/>
    <col min="6" max="6" width="49" customWidth="1"/>
    <col min="7" max="7" width="10.5703125" bestFit="1" customWidth="1"/>
    <col min="8" max="8" width="12.28515625" customWidth="1"/>
    <col min="9" max="9" width="10.5703125" customWidth="1"/>
    <col min="10" max="10" width="9.42578125" bestFit="1" customWidth="1"/>
    <col min="11" max="11" width="13.7109375" customWidth="1"/>
    <col min="12" max="12" width="13.42578125" bestFit="1" customWidth="1"/>
    <col min="13" max="13" width="9.42578125" bestFit="1" customWidth="1"/>
    <col min="14" max="14" width="9.7109375" bestFit="1" customWidth="1"/>
    <col min="15" max="15" width="14.5703125" bestFit="1" customWidth="1"/>
    <col min="16" max="16" width="9.42578125" bestFit="1" customWidth="1"/>
    <col min="17" max="17" width="9.7109375" bestFit="1" customWidth="1"/>
    <col min="18" max="18" width="14.5703125" bestFit="1" customWidth="1"/>
    <col min="19" max="19" width="16.85546875" customWidth="1"/>
    <col min="20" max="20" width="122.42578125" customWidth="1"/>
    <col min="21" max="21" width="115" customWidth="1"/>
  </cols>
  <sheetData>
    <row r="1" spans="2:115" s="2" customFormat="1" x14ac:dyDescent="0.25">
      <c r="B1" s="44"/>
      <c r="C1" s="45"/>
      <c r="D1" s="45"/>
      <c r="E1" s="26"/>
      <c r="F1" s="25"/>
      <c r="G1" s="25"/>
      <c r="H1" s="25"/>
      <c r="I1" s="25"/>
      <c r="J1" s="25"/>
      <c r="K1" s="25"/>
      <c r="L1" s="25"/>
      <c r="M1" s="25"/>
      <c r="N1" s="25"/>
      <c r="O1" s="25"/>
      <c r="P1" s="25"/>
      <c r="Q1" s="25"/>
      <c r="R1" s="25"/>
      <c r="S1" s="25"/>
      <c r="T1" s="25"/>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row>
    <row r="2" spans="2:115" s="2" customFormat="1" ht="29.1" customHeight="1" x14ac:dyDescent="0.25">
      <c r="B2" s="111" t="s">
        <v>2</v>
      </c>
      <c r="C2" s="113" t="s">
        <v>22</v>
      </c>
      <c r="D2" s="113" t="s">
        <v>63</v>
      </c>
      <c r="E2" s="115" t="s">
        <v>23</v>
      </c>
      <c r="F2" s="117" t="s">
        <v>3</v>
      </c>
      <c r="G2" s="119" t="s">
        <v>64</v>
      </c>
      <c r="H2" s="108" t="s">
        <v>69</v>
      </c>
      <c r="I2" s="108" t="s">
        <v>70</v>
      </c>
      <c r="J2" s="109">
        <v>2024</v>
      </c>
      <c r="K2" s="109"/>
      <c r="L2" s="110"/>
      <c r="M2" s="109">
        <v>2025</v>
      </c>
      <c r="N2" s="109"/>
      <c r="O2" s="110"/>
      <c r="P2" s="109">
        <v>2026</v>
      </c>
      <c r="Q2" s="109"/>
      <c r="R2" s="110"/>
      <c r="S2" s="89" t="s">
        <v>1</v>
      </c>
      <c r="T2" s="107" t="s">
        <v>66</v>
      </c>
      <c r="U2" s="106" t="s">
        <v>56</v>
      </c>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row>
    <row r="3" spans="2:115" s="2" customFormat="1" ht="27" customHeight="1" x14ac:dyDescent="0.25">
      <c r="B3" s="112"/>
      <c r="C3" s="114"/>
      <c r="D3" s="114"/>
      <c r="E3" s="116"/>
      <c r="F3" s="118"/>
      <c r="G3" s="120"/>
      <c r="H3" s="108"/>
      <c r="I3" s="108"/>
      <c r="J3" s="90" t="s">
        <v>4</v>
      </c>
      <c r="K3" s="90" t="s">
        <v>5</v>
      </c>
      <c r="L3" s="90" t="s">
        <v>6</v>
      </c>
      <c r="M3" s="90" t="s">
        <v>4</v>
      </c>
      <c r="N3" s="90" t="s">
        <v>5</v>
      </c>
      <c r="O3" s="90" t="s">
        <v>6</v>
      </c>
      <c r="P3" s="90" t="s">
        <v>4</v>
      </c>
      <c r="Q3" s="90" t="s">
        <v>5</v>
      </c>
      <c r="R3" s="90" t="s">
        <v>6</v>
      </c>
      <c r="S3" s="91" t="s">
        <v>6</v>
      </c>
      <c r="T3" s="107"/>
      <c r="U3" s="106"/>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row>
    <row r="4" spans="2:115" s="2" customFormat="1" ht="120" x14ac:dyDescent="0.25">
      <c r="B4" s="92" t="s">
        <v>24</v>
      </c>
      <c r="C4" s="94" t="s">
        <v>28</v>
      </c>
      <c r="D4" s="96" t="s">
        <v>29</v>
      </c>
      <c r="E4" s="37" t="s">
        <v>30</v>
      </c>
      <c r="F4" s="37" t="s">
        <v>71</v>
      </c>
      <c r="G4" s="17" t="s">
        <v>27</v>
      </c>
      <c r="H4" s="17">
        <v>100</v>
      </c>
      <c r="I4" s="17">
        <v>0</v>
      </c>
      <c r="J4" s="16"/>
      <c r="K4" s="46"/>
      <c r="L4" s="48"/>
      <c r="M4" s="16">
        <v>12</v>
      </c>
      <c r="N4" s="47">
        <v>200</v>
      </c>
      <c r="O4" s="47">
        <f>M4*N4*$D$25</f>
        <v>2496000</v>
      </c>
      <c r="P4" s="16">
        <v>11</v>
      </c>
      <c r="Q4" s="47">
        <v>200</v>
      </c>
      <c r="R4" s="47">
        <f>P4*Q4*$D$20</f>
        <v>4576000</v>
      </c>
      <c r="S4" s="47">
        <f>R4+O4</f>
        <v>7072000</v>
      </c>
      <c r="T4" s="37" t="s">
        <v>57</v>
      </c>
      <c r="U4" s="8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row>
    <row r="5" spans="2:115" s="2" customFormat="1" ht="135" x14ac:dyDescent="0.25">
      <c r="B5" s="92" t="s">
        <v>24</v>
      </c>
      <c r="C5" s="94" t="s">
        <v>28</v>
      </c>
      <c r="D5" s="96" t="s">
        <v>0</v>
      </c>
      <c r="E5" s="37" t="s">
        <v>31</v>
      </c>
      <c r="F5" s="37" t="s">
        <v>32</v>
      </c>
      <c r="G5" s="17" t="s">
        <v>27</v>
      </c>
      <c r="H5" s="17">
        <v>100</v>
      </c>
      <c r="I5" s="17">
        <v>0</v>
      </c>
      <c r="J5" s="16">
        <v>1</v>
      </c>
      <c r="K5" s="50">
        <v>1173111</v>
      </c>
      <c r="L5" s="50">
        <v>1173111</v>
      </c>
      <c r="M5" s="16">
        <v>19</v>
      </c>
      <c r="N5" s="47">
        <v>200</v>
      </c>
      <c r="O5" s="47">
        <f>M5*N5*$D$20</f>
        <v>7904000</v>
      </c>
      <c r="P5" s="16">
        <v>20</v>
      </c>
      <c r="Q5" s="47">
        <v>200</v>
      </c>
      <c r="R5" s="47">
        <f>P5*Q5*$D$20</f>
        <v>8320000</v>
      </c>
      <c r="S5" s="49">
        <f>L5+O5+R5</f>
        <v>17397111</v>
      </c>
      <c r="T5" s="37" t="s">
        <v>58</v>
      </c>
      <c r="U5" s="87"/>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row>
    <row r="6" spans="2:115" s="2" customFormat="1" ht="135" x14ac:dyDescent="0.25">
      <c r="B6" s="92" t="s">
        <v>7</v>
      </c>
      <c r="C6" s="94" t="s">
        <v>28</v>
      </c>
      <c r="D6" s="96" t="s">
        <v>0</v>
      </c>
      <c r="E6" s="37" t="s">
        <v>31</v>
      </c>
      <c r="F6" s="37" t="s">
        <v>33</v>
      </c>
      <c r="G6" s="17" t="s">
        <v>27</v>
      </c>
      <c r="H6" s="17">
        <v>100</v>
      </c>
      <c r="I6" s="17">
        <v>0</v>
      </c>
      <c r="J6" s="16"/>
      <c r="K6" s="50"/>
      <c r="L6" s="16"/>
      <c r="M6" s="16">
        <v>4</v>
      </c>
      <c r="N6" s="47">
        <f>$D$23</f>
        <v>55</v>
      </c>
      <c r="O6" s="47">
        <f>M6*N6*$D$20</f>
        <v>457600</v>
      </c>
      <c r="P6" s="16">
        <v>4</v>
      </c>
      <c r="Q6" s="47">
        <f>$D$23</f>
        <v>55</v>
      </c>
      <c r="R6" s="47">
        <f>P6*Q6*$D$20</f>
        <v>457600</v>
      </c>
      <c r="S6" s="47">
        <f t="shared" ref="S6" si="0">L6+O6+R6</f>
        <v>915200</v>
      </c>
      <c r="T6" s="37" t="s">
        <v>58</v>
      </c>
      <c r="U6" s="87"/>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row>
    <row r="7" spans="2:115" s="2" customFormat="1" ht="293.25" customHeight="1" x14ac:dyDescent="0.25">
      <c r="B7" s="92" t="s">
        <v>24</v>
      </c>
      <c r="C7" s="94" t="s">
        <v>28</v>
      </c>
      <c r="D7" s="96" t="s">
        <v>8</v>
      </c>
      <c r="E7" s="37" t="s">
        <v>34</v>
      </c>
      <c r="F7" s="37" t="s">
        <v>35</v>
      </c>
      <c r="G7" s="17" t="s">
        <v>27</v>
      </c>
      <c r="H7" s="17">
        <v>100</v>
      </c>
      <c r="I7" s="17">
        <v>0</v>
      </c>
      <c r="J7" s="16"/>
      <c r="K7" s="46"/>
      <c r="L7" s="46"/>
      <c r="M7" s="16">
        <v>7</v>
      </c>
      <c r="N7" s="47">
        <f>$D$21</f>
        <v>200</v>
      </c>
      <c r="O7" s="47">
        <f>M7*N7*$D$25</f>
        <v>1456000</v>
      </c>
      <c r="P7" s="16">
        <v>17</v>
      </c>
      <c r="Q7" s="47">
        <f>$D$21</f>
        <v>200</v>
      </c>
      <c r="R7" s="47">
        <f>P7*Q7*$D$20</f>
        <v>7072000</v>
      </c>
      <c r="S7" s="47">
        <f t="shared" ref="S7:S8" si="1">L7+O7+R7</f>
        <v>8528000</v>
      </c>
      <c r="T7" s="37" t="s">
        <v>36</v>
      </c>
      <c r="U7" s="87"/>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row>
    <row r="8" spans="2:115" s="2" customFormat="1" ht="206.25" customHeight="1" x14ac:dyDescent="0.25">
      <c r="B8" s="92" t="s">
        <v>24</v>
      </c>
      <c r="C8" s="94" t="s">
        <v>28</v>
      </c>
      <c r="D8" s="96" t="s">
        <v>9</v>
      </c>
      <c r="E8" s="37" t="s">
        <v>37</v>
      </c>
      <c r="F8" s="37" t="s">
        <v>26</v>
      </c>
      <c r="G8" s="17" t="s">
        <v>27</v>
      </c>
      <c r="H8" s="17">
        <v>100</v>
      </c>
      <c r="I8" s="17">
        <v>0</v>
      </c>
      <c r="J8" s="17"/>
      <c r="K8" s="18"/>
      <c r="L8" s="19">
        <v>270400</v>
      </c>
      <c r="M8" s="17">
        <v>4.5</v>
      </c>
      <c r="N8" s="18">
        <v>200</v>
      </c>
      <c r="O8" s="19">
        <f>M8*N8*$D$25</f>
        <v>936000</v>
      </c>
      <c r="P8" s="17">
        <v>9</v>
      </c>
      <c r="Q8" s="18">
        <f>$D$21</f>
        <v>200</v>
      </c>
      <c r="R8" s="19">
        <f>(Q8*2080)*P8</f>
        <v>3744000</v>
      </c>
      <c r="S8" s="19">
        <f t="shared" si="1"/>
        <v>4950400</v>
      </c>
      <c r="T8" s="37" t="s">
        <v>65</v>
      </c>
      <c r="U8" s="87"/>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row>
    <row r="9" spans="2:115" s="2" customFormat="1" ht="135" x14ac:dyDescent="0.25">
      <c r="B9" s="92" t="s">
        <v>7</v>
      </c>
      <c r="C9" s="94" t="s">
        <v>28</v>
      </c>
      <c r="D9" s="96" t="s">
        <v>9</v>
      </c>
      <c r="E9" s="37" t="s">
        <v>37</v>
      </c>
      <c r="F9" s="37" t="s">
        <v>38</v>
      </c>
      <c r="G9" s="17" t="s">
        <v>27</v>
      </c>
      <c r="H9" s="17">
        <v>100</v>
      </c>
      <c r="I9" s="17">
        <v>0</v>
      </c>
      <c r="J9" s="17"/>
      <c r="K9" s="18"/>
      <c r="L9" s="19">
        <v>27885</v>
      </c>
      <c r="M9" s="17">
        <v>1.5</v>
      </c>
      <c r="N9" s="18">
        <f>$D$23</f>
        <v>55</v>
      </c>
      <c r="O9" s="19">
        <f>M9*N9*$D$25</f>
        <v>85800</v>
      </c>
      <c r="P9" s="17">
        <v>3</v>
      </c>
      <c r="Q9" s="18">
        <f>$D$23</f>
        <v>55</v>
      </c>
      <c r="R9" s="19">
        <f>(Q9*2080)*P9</f>
        <v>343200</v>
      </c>
      <c r="S9" s="19">
        <f t="shared" ref="S9" si="2">L9+O9+R9</f>
        <v>456885</v>
      </c>
      <c r="T9" s="37" t="s">
        <v>65</v>
      </c>
      <c r="U9" s="87"/>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row>
    <row r="10" spans="2:115" s="2" customFormat="1" ht="150" x14ac:dyDescent="0.25">
      <c r="B10" s="92" t="s">
        <v>24</v>
      </c>
      <c r="C10" s="94" t="s">
        <v>28</v>
      </c>
      <c r="D10" s="96" t="s">
        <v>39</v>
      </c>
      <c r="E10" s="37" t="s">
        <v>40</v>
      </c>
      <c r="F10" s="37" t="s">
        <v>26</v>
      </c>
      <c r="G10" s="17" t="s">
        <v>27</v>
      </c>
      <c r="H10" s="17">
        <v>100</v>
      </c>
      <c r="I10" s="17">
        <v>0</v>
      </c>
      <c r="J10" s="16"/>
      <c r="K10" s="46"/>
      <c r="L10" s="46"/>
      <c r="M10" s="16">
        <v>5</v>
      </c>
      <c r="N10" s="47">
        <f>$D$21</f>
        <v>200</v>
      </c>
      <c r="O10" s="47">
        <f>N10*M10*D25</f>
        <v>1040000</v>
      </c>
      <c r="P10" s="16">
        <v>7</v>
      </c>
      <c r="Q10" s="47">
        <f>$D$21</f>
        <v>200</v>
      </c>
      <c r="R10" s="47">
        <f>Q10*P10*$D$20</f>
        <v>2912000</v>
      </c>
      <c r="S10" s="31">
        <f>L10+O10+R10</f>
        <v>3952000</v>
      </c>
      <c r="T10" s="37"/>
      <c r="U10" s="87"/>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row>
    <row r="11" spans="2:115" s="2" customFormat="1" ht="150" x14ac:dyDescent="0.25">
      <c r="B11" s="92" t="s">
        <v>7</v>
      </c>
      <c r="C11" s="94" t="s">
        <v>28</v>
      </c>
      <c r="D11" s="96" t="s">
        <v>42</v>
      </c>
      <c r="E11" s="37" t="s">
        <v>40</v>
      </c>
      <c r="F11" s="37" t="s">
        <v>38</v>
      </c>
      <c r="G11" s="17" t="s">
        <v>27</v>
      </c>
      <c r="H11" s="17">
        <v>100</v>
      </c>
      <c r="I11" s="17">
        <v>0</v>
      </c>
      <c r="J11" s="16"/>
      <c r="K11" s="46"/>
      <c r="L11" s="46"/>
      <c r="M11" s="16">
        <v>3</v>
      </c>
      <c r="N11" s="47">
        <f>$D$23</f>
        <v>55</v>
      </c>
      <c r="O11" s="47">
        <f>N11*M11*D25</f>
        <v>171600</v>
      </c>
      <c r="P11" s="16">
        <v>4</v>
      </c>
      <c r="Q11" s="47">
        <f>$D$23</f>
        <v>55</v>
      </c>
      <c r="R11" s="47">
        <f>Q11*P11*$D$20</f>
        <v>457600</v>
      </c>
      <c r="S11" s="31">
        <f>L11+O11+R11</f>
        <v>629200</v>
      </c>
      <c r="T11" s="37"/>
      <c r="U11" s="87"/>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row>
    <row r="12" spans="2:115" s="2" customFormat="1" ht="315" x14ac:dyDescent="0.25">
      <c r="B12" s="92" t="s">
        <v>24</v>
      </c>
      <c r="C12" s="94" t="s">
        <v>28</v>
      </c>
      <c r="D12" s="96" t="s">
        <v>10</v>
      </c>
      <c r="E12" s="37" t="s">
        <v>43</v>
      </c>
      <c r="F12" s="37" t="s">
        <v>26</v>
      </c>
      <c r="G12" s="17" t="s">
        <v>27</v>
      </c>
      <c r="H12" s="17">
        <v>100</v>
      </c>
      <c r="I12" s="17">
        <v>0</v>
      </c>
      <c r="J12" s="16"/>
      <c r="K12" s="46"/>
      <c r="L12" s="46"/>
      <c r="M12" s="16">
        <v>6</v>
      </c>
      <c r="N12" s="47">
        <f>$D$21</f>
        <v>200</v>
      </c>
      <c r="O12" s="47">
        <f>M12*N12*$D$25</f>
        <v>1248000</v>
      </c>
      <c r="P12" s="16">
        <v>12</v>
      </c>
      <c r="Q12" s="47">
        <v>200</v>
      </c>
      <c r="R12" s="47">
        <f>P12*Q12*$D$20</f>
        <v>4992000</v>
      </c>
      <c r="S12" s="47">
        <f>O12+R12</f>
        <v>6240000</v>
      </c>
      <c r="T12" s="37" t="s">
        <v>44</v>
      </c>
      <c r="U12" s="87"/>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row>
    <row r="13" spans="2:115" s="2" customFormat="1" ht="195" x14ac:dyDescent="0.25">
      <c r="B13" s="92" t="s">
        <v>7</v>
      </c>
      <c r="C13" s="94" t="s">
        <v>28</v>
      </c>
      <c r="D13" s="96" t="s">
        <v>10</v>
      </c>
      <c r="E13" s="37" t="s">
        <v>45</v>
      </c>
      <c r="F13" s="37" t="s">
        <v>38</v>
      </c>
      <c r="G13" s="17" t="s">
        <v>27</v>
      </c>
      <c r="H13" s="17">
        <v>100</v>
      </c>
      <c r="I13" s="17">
        <v>0</v>
      </c>
      <c r="J13" s="16"/>
      <c r="K13" s="46"/>
      <c r="L13" s="46"/>
      <c r="M13" s="16">
        <v>4</v>
      </c>
      <c r="N13" s="47">
        <f>$D$23</f>
        <v>55</v>
      </c>
      <c r="O13" s="47">
        <f>M13*N13*$D$25</f>
        <v>228800</v>
      </c>
      <c r="P13" s="16">
        <v>4</v>
      </c>
      <c r="Q13" s="47">
        <f>$D$23</f>
        <v>55</v>
      </c>
      <c r="R13" s="47">
        <f>P13*Q13*$D$20</f>
        <v>457600</v>
      </c>
      <c r="S13" s="47">
        <f>O13+R13</f>
        <v>686400</v>
      </c>
      <c r="T13" s="37" t="s">
        <v>44</v>
      </c>
      <c r="U13" s="87"/>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row>
    <row r="14" spans="2:115" s="2" customFormat="1" ht="181.5" customHeight="1" x14ac:dyDescent="0.25">
      <c r="B14" s="93" t="s">
        <v>24</v>
      </c>
      <c r="C14" s="95" t="s">
        <v>25</v>
      </c>
      <c r="D14" s="97" t="s">
        <v>39</v>
      </c>
      <c r="E14" s="84" t="s">
        <v>40</v>
      </c>
      <c r="F14" s="84" t="s">
        <v>41</v>
      </c>
      <c r="G14" s="83" t="s">
        <v>27</v>
      </c>
      <c r="H14" s="83">
        <v>0</v>
      </c>
      <c r="I14" s="83">
        <v>100</v>
      </c>
      <c r="J14" s="76"/>
      <c r="K14" s="77"/>
      <c r="L14" s="77"/>
      <c r="M14" s="76">
        <v>1</v>
      </c>
      <c r="N14" s="78">
        <v>20000</v>
      </c>
      <c r="O14" s="78">
        <f>M14*N14</f>
        <v>20000</v>
      </c>
      <c r="P14" s="76">
        <v>1</v>
      </c>
      <c r="Q14" s="78">
        <v>40000</v>
      </c>
      <c r="R14" s="78">
        <f>P14*Q14</f>
        <v>40000</v>
      </c>
      <c r="S14" s="79">
        <f>L14+O14+R14</f>
        <v>60000</v>
      </c>
      <c r="T14" s="84" t="s">
        <v>67</v>
      </c>
      <c r="U14" s="88"/>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row>
    <row r="15" spans="2:115" s="2" customFormat="1" ht="135" x14ac:dyDescent="0.25">
      <c r="B15" s="93" t="s">
        <v>7</v>
      </c>
      <c r="C15" s="95" t="s">
        <v>25</v>
      </c>
      <c r="D15" s="97" t="s">
        <v>46</v>
      </c>
      <c r="E15" s="84" t="s">
        <v>47</v>
      </c>
      <c r="F15" s="84" t="s">
        <v>26</v>
      </c>
      <c r="G15" s="83" t="s">
        <v>27</v>
      </c>
      <c r="H15" s="83">
        <v>0</v>
      </c>
      <c r="I15" s="83">
        <v>100</v>
      </c>
      <c r="J15" s="76" t="s">
        <v>21</v>
      </c>
      <c r="K15" s="76" t="s">
        <v>21</v>
      </c>
      <c r="L15" s="76"/>
      <c r="M15" s="76">
        <v>4</v>
      </c>
      <c r="N15" s="78">
        <f>$D$23</f>
        <v>55</v>
      </c>
      <c r="O15" s="78">
        <f>N15*M15*D25</f>
        <v>228800</v>
      </c>
      <c r="P15" s="76">
        <v>8</v>
      </c>
      <c r="Q15" s="78">
        <v>55</v>
      </c>
      <c r="R15" s="78">
        <f>Q15*P15*D20</f>
        <v>915200</v>
      </c>
      <c r="S15" s="78">
        <f>L15+O15+R15</f>
        <v>1144000</v>
      </c>
      <c r="T15" s="84" t="s">
        <v>68</v>
      </c>
      <c r="U15" s="88" t="s">
        <v>59</v>
      </c>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row>
    <row r="16" spans="2:115" s="2" customFormat="1" ht="180" x14ac:dyDescent="0.25">
      <c r="B16" s="93" t="s">
        <v>24</v>
      </c>
      <c r="C16" s="95" t="s">
        <v>25</v>
      </c>
      <c r="D16" s="97" t="s">
        <v>48</v>
      </c>
      <c r="E16" s="84" t="s">
        <v>49</v>
      </c>
      <c r="F16" s="84" t="s">
        <v>50</v>
      </c>
      <c r="G16" s="83" t="s">
        <v>27</v>
      </c>
      <c r="H16" s="83">
        <v>0</v>
      </c>
      <c r="I16" s="83">
        <v>100</v>
      </c>
      <c r="J16" s="80"/>
      <c r="K16" s="80"/>
      <c r="L16" s="80"/>
      <c r="M16" s="76">
        <v>0.25</v>
      </c>
      <c r="N16" s="78">
        <v>200</v>
      </c>
      <c r="O16" s="78">
        <f>M16*N16*$D$20</f>
        <v>104000</v>
      </c>
      <c r="P16" s="76">
        <v>0.25</v>
      </c>
      <c r="Q16" s="78">
        <v>200</v>
      </c>
      <c r="R16" s="78">
        <f>Q16*P16*$D$25</f>
        <v>52000</v>
      </c>
      <c r="S16" s="78">
        <f>L16+O16+R16</f>
        <v>156000</v>
      </c>
      <c r="T16" s="84" t="s">
        <v>51</v>
      </c>
      <c r="U16" s="88" t="s">
        <v>59</v>
      </c>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row>
    <row r="17" spans="2:115" ht="38.25" customHeight="1" x14ac:dyDescent="0.25">
      <c r="B17" s="44"/>
      <c r="C17" s="45"/>
      <c r="D17" s="45"/>
      <c r="E17" s="26"/>
      <c r="F17" s="25"/>
      <c r="G17" s="25"/>
      <c r="H17" s="25"/>
      <c r="I17" s="25"/>
      <c r="J17" s="25"/>
      <c r="K17" s="25"/>
      <c r="L17" s="85">
        <f>SUM(L4:L16)</f>
        <v>1471396</v>
      </c>
      <c r="M17" s="86"/>
      <c r="N17" s="86"/>
      <c r="O17" s="85">
        <f>SUM(O4:O16)</f>
        <v>16376600</v>
      </c>
      <c r="P17" s="86"/>
      <c r="Q17" s="86"/>
      <c r="R17" s="85">
        <f>SUM(R4:R16)</f>
        <v>34339200</v>
      </c>
      <c r="S17" s="85">
        <f>SUM(S4:S16)</f>
        <v>52187196</v>
      </c>
      <c r="T17" s="25"/>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row>
    <row r="18" spans="2:115" ht="24" x14ac:dyDescent="0.25">
      <c r="B18" s="99" t="s">
        <v>74</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row>
    <row r="19" spans="2:115" x14ac:dyDescent="0.25">
      <c r="B19" s="98" t="s">
        <v>75</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row>
    <row r="20" spans="2:115" ht="15" customHeight="1" x14ac:dyDescent="0.25">
      <c r="B20" s="98" t="s">
        <v>76</v>
      </c>
      <c r="D20" s="38">
        <v>2080</v>
      </c>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row>
    <row r="21" spans="2:115" ht="15" customHeight="1" x14ac:dyDescent="0.25">
      <c r="B21" s="98" t="s">
        <v>77</v>
      </c>
      <c r="D21" s="52">
        <v>200</v>
      </c>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row>
    <row r="22" spans="2:115" ht="49.5" customHeight="1" x14ac:dyDescent="0.25">
      <c r="B22" s="104" t="s">
        <v>72</v>
      </c>
      <c r="C22" s="104"/>
      <c r="D22" s="104"/>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row>
    <row r="23" spans="2:115" ht="15" customHeight="1" x14ac:dyDescent="0.25">
      <c r="B23" s="98" t="s">
        <v>78</v>
      </c>
      <c r="D23" s="52">
        <v>55</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row>
    <row r="24" spans="2:115" ht="57" customHeight="1" x14ac:dyDescent="0.25">
      <c r="B24" s="105" t="s">
        <v>73</v>
      </c>
      <c r="C24" s="105"/>
      <c r="D24" s="105"/>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row>
    <row r="25" spans="2:115" ht="15" customHeight="1" x14ac:dyDescent="0.25">
      <c r="B25" s="98" t="s">
        <v>79</v>
      </c>
      <c r="D25" s="53">
        <v>1040</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row>
    <row r="26" spans="2:115" ht="15" customHeight="1" x14ac:dyDescent="0.25">
      <c r="B26" s="51"/>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row>
    <row r="27" spans="2:115" ht="15" customHeight="1" x14ac:dyDescent="0.25">
      <c r="B27" s="51"/>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row>
    <row r="28" spans="2:115" ht="15" customHeight="1" x14ac:dyDescent="0.25">
      <c r="B28" s="51"/>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row>
    <row r="29" spans="2:115" ht="15" customHeight="1" x14ac:dyDescent="0.25">
      <c r="B29" s="51"/>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row>
    <row r="30" spans="2:115" ht="15" customHeight="1" x14ac:dyDescent="0.25">
      <c r="B30" s="51"/>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row>
    <row r="31" spans="2:115" ht="15" customHeight="1" x14ac:dyDescent="0.25">
      <c r="B31" s="51"/>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row>
    <row r="32" spans="2:115" ht="15" customHeight="1" x14ac:dyDescent="0.25">
      <c r="B32" s="5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row>
    <row r="33" spans="2:115" ht="15" customHeight="1" x14ac:dyDescent="0.25">
      <c r="B33" s="51"/>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row>
    <row r="34" spans="2:115" ht="15" customHeight="1" x14ac:dyDescent="0.25">
      <c r="B34" s="51"/>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row>
    <row r="35" spans="2:115" ht="15" customHeight="1" x14ac:dyDescent="0.25">
      <c r="B35" s="51"/>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row>
    <row r="36" spans="2:115" ht="15" customHeight="1" x14ac:dyDescent="0.25">
      <c r="B36" s="51"/>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row>
    <row r="37" spans="2:115" ht="15" customHeight="1" x14ac:dyDescent="0.25">
      <c r="B37" s="51"/>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row>
    <row r="38" spans="2:115" ht="15" customHeight="1" x14ac:dyDescent="0.25">
      <c r="B38" s="5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row>
  </sheetData>
  <mergeCells count="15">
    <mergeCell ref="B22:D22"/>
    <mergeCell ref="B24:D24"/>
    <mergeCell ref="U2:U3"/>
    <mergeCell ref="T2:T3"/>
    <mergeCell ref="H2:H3"/>
    <mergeCell ref="I2:I3"/>
    <mergeCell ref="J2:L2"/>
    <mergeCell ref="M2:O2"/>
    <mergeCell ref="P2:R2"/>
    <mergeCell ref="B2:B3"/>
    <mergeCell ref="C2:C3"/>
    <mergeCell ref="D2:D3"/>
    <mergeCell ref="E2:E3"/>
    <mergeCell ref="F2:F3"/>
    <mergeCell ref="G2: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Additional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2025-05-29T23:31:08Z</dcterms:created>
  <dcterms:modified xsi:type="dcterms:W3CDTF">2025-05-29T23:31:23Z</dcterms:modified>
  <cp:category/>
  <cp:contentStatus/>
</cp:coreProperties>
</file>