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Commodity\ERRA related filings\PCIA\PCIA OIR\MPB - 2022\04 - Energy Index MPB Proposals (5.27.22)\Public Workpapers\"/>
    </mc:Choice>
  </mc:AlternateContent>
  <xr:revisionPtr revIDLastSave="0" documentId="13_ncr:1_{86C93B8E-5CAA-4D44-A4D2-95CBC34F55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CIA Inputs" sheetId="1" r:id="rId1"/>
    <sheet name="IOU Total Portfolio Summary" sheetId="2" r:id="rId2"/>
    <sheet name="Indifference Amount Calc" sheetId="8" r:id="rId3"/>
    <sheet name="Indifference Rate Calc" sheetId="11" r:id="rId4"/>
    <sheet name="PCIA Capping" sheetId="13" r:id="rId5"/>
    <sheet name="Final PCIA Rates" sheetId="1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A">'[1]Total GHG Cost'!#REF!</definedName>
    <definedName name="AccCshTgl">[2]NonAvoidDat!$D$6</definedName>
    <definedName name="ActualMo">[3]Npt!$E$14</definedName>
    <definedName name="BOT">#REF!</definedName>
    <definedName name="ComAFUDC">[4]AFUDC!$D$5</definedName>
    <definedName name="ComName">'[5]FormList&amp;FilerInfo'!$B$2</definedName>
    <definedName name="CoName">'[6]FormList&amp;FilerInfo'!$B$2</definedName>
    <definedName name="Data3.4">#REF!</definedName>
    <definedName name="dddd">[7]Level2!$K$2</definedName>
    <definedName name="filedate">#REF!</definedName>
    <definedName name="Holiday">#REF!</definedName>
    <definedName name="InvoiceType">[8]Level2!$K$2</definedName>
    <definedName name="PvyOtherPct">[3]Npt!$D$9:$E$11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U23AFUDC">[4]AFUDC!$D$4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8" l="1"/>
  <c r="H22" i="8"/>
  <c r="A7" i="1" l="1"/>
  <c r="A8" i="1"/>
  <c r="D34" i="8" l="1"/>
  <c r="D32" i="8"/>
  <c r="F26" i="8"/>
  <c r="D15" i="1" l="1"/>
  <c r="D14" i="1"/>
  <c r="D13" i="1"/>
  <c r="K16" i="2" l="1"/>
  <c r="S16" i="2"/>
  <c r="O16" i="2"/>
  <c r="C16" i="2"/>
  <c r="W16" i="2"/>
  <c r="G16" i="2"/>
  <c r="D16" i="2" l="1"/>
  <c r="H16" i="2"/>
  <c r="L16" i="2"/>
  <c r="P16" i="2"/>
  <c r="T16" i="2"/>
  <c r="X16" i="2"/>
  <c r="E16" i="2"/>
  <c r="I16" i="2"/>
  <c r="M16" i="2"/>
  <c r="Q16" i="2"/>
  <c r="U16" i="2"/>
  <c r="Y16" i="2"/>
  <c r="F16" i="2"/>
  <c r="J16" i="2"/>
  <c r="N16" i="2"/>
  <c r="R16" i="2"/>
  <c r="V16" i="2"/>
  <c r="D42" i="8"/>
  <c r="D30" i="8"/>
  <c r="D25" i="8"/>
  <c r="D20" i="8"/>
  <c r="G11" i="8"/>
  <c r="G30" i="8" s="1"/>
  <c r="H11" i="8"/>
  <c r="I11" i="8"/>
  <c r="I30" i="8" s="1"/>
  <c r="J11" i="8"/>
  <c r="J30" i="8" s="1"/>
  <c r="V11" i="8"/>
  <c r="V30" i="8" s="1"/>
  <c r="W11" i="8"/>
  <c r="X11" i="8"/>
  <c r="Y11" i="8"/>
  <c r="Y30" i="8" s="1"/>
  <c r="Z11" i="8"/>
  <c r="Z30" i="8" s="1"/>
  <c r="AA11" i="8"/>
  <c r="AA30" i="8" s="1"/>
  <c r="AB11" i="8"/>
  <c r="AB30" i="8" s="1"/>
  <c r="G12" i="8"/>
  <c r="G32" i="8" s="1"/>
  <c r="H12" i="8"/>
  <c r="H32" i="8" s="1"/>
  <c r="I12" i="8"/>
  <c r="I32" i="8" s="1"/>
  <c r="J12" i="8"/>
  <c r="J32" i="8" s="1"/>
  <c r="V12" i="8"/>
  <c r="V32" i="8" s="1"/>
  <c r="W12" i="8"/>
  <c r="X12" i="8"/>
  <c r="X32" i="8" s="1"/>
  <c r="AA12" i="8"/>
  <c r="AA32" i="8" s="1"/>
  <c r="AB12" i="8"/>
  <c r="AB32" i="8" s="1"/>
  <c r="G13" i="8"/>
  <c r="G34" i="8" s="1"/>
  <c r="H13" i="8"/>
  <c r="H34" i="8" s="1"/>
  <c r="I13" i="8"/>
  <c r="I34" i="8" s="1"/>
  <c r="J13" i="8"/>
  <c r="J34" i="8" s="1"/>
  <c r="V13" i="8"/>
  <c r="V34" i="8" s="1"/>
  <c r="W13" i="8"/>
  <c r="W34" i="8" s="1"/>
  <c r="X13" i="8"/>
  <c r="X34" i="8" s="1"/>
  <c r="Y13" i="8"/>
  <c r="Y34" i="8" s="1"/>
  <c r="Z13" i="8"/>
  <c r="Z34" i="8" s="1"/>
  <c r="AA13" i="8"/>
  <c r="AB13" i="8"/>
  <c r="AB34" i="8" s="1"/>
  <c r="G9" i="8"/>
  <c r="G20" i="8" s="1"/>
  <c r="H9" i="8"/>
  <c r="H20" i="8" s="1"/>
  <c r="I9" i="8"/>
  <c r="I20" i="8" s="1"/>
  <c r="J9" i="8"/>
  <c r="J20" i="8" s="1"/>
  <c r="V9" i="8"/>
  <c r="V20" i="8" s="1"/>
  <c r="W9" i="8"/>
  <c r="W20" i="8" s="1"/>
  <c r="X9" i="8"/>
  <c r="X20" i="8" s="1"/>
  <c r="Y9" i="8"/>
  <c r="Y20" i="8" s="1"/>
  <c r="Z9" i="8"/>
  <c r="Z20" i="8" s="1"/>
  <c r="AA9" i="8"/>
  <c r="AA20" i="8" s="1"/>
  <c r="AB9" i="8"/>
  <c r="AB20" i="8" s="1"/>
  <c r="G10" i="8"/>
  <c r="G25" i="8" s="1"/>
  <c r="H10" i="8"/>
  <c r="H25" i="8" s="1"/>
  <c r="I10" i="8"/>
  <c r="I25" i="8" s="1"/>
  <c r="J10" i="8"/>
  <c r="J25" i="8" s="1"/>
  <c r="V10" i="8"/>
  <c r="V25" i="8" s="1"/>
  <c r="W10" i="8"/>
  <c r="W25" i="8" s="1"/>
  <c r="X10" i="8"/>
  <c r="X25" i="8" s="1"/>
  <c r="Y10" i="8"/>
  <c r="Y25" i="8" s="1"/>
  <c r="Z10" i="8"/>
  <c r="Z25" i="8" s="1"/>
  <c r="AA10" i="8"/>
  <c r="AA25" i="8" s="1"/>
  <c r="AB10" i="8"/>
  <c r="AB25" i="8" s="1"/>
  <c r="H30" i="8"/>
  <c r="X30" i="8"/>
  <c r="W30" i="8"/>
  <c r="A15" i="8"/>
  <c r="A13" i="8"/>
  <c r="AA34" i="8"/>
  <c r="W32" i="8"/>
  <c r="G7" i="8"/>
  <c r="S13" i="8"/>
  <c r="S34" i="8" s="1"/>
  <c r="K13" i="8"/>
  <c r="K34" i="8" s="1"/>
  <c r="F13" i="8"/>
  <c r="F34" i="8" s="1"/>
  <c r="U12" i="8"/>
  <c r="U32" i="8" s="1"/>
  <c r="M12" i="8"/>
  <c r="M32" i="8" s="1"/>
  <c r="Q11" i="8"/>
  <c r="Q30" i="8" s="1"/>
  <c r="M11" i="8"/>
  <c r="M30" i="8" s="1"/>
  <c r="A8" i="2"/>
  <c r="T13" i="8"/>
  <c r="T34" i="8" s="1"/>
  <c r="P13" i="8"/>
  <c r="P34" i="8" s="1"/>
  <c r="O13" i="8"/>
  <c r="O34" i="8" s="1"/>
  <c r="L13" i="8"/>
  <c r="L34" i="8" s="1"/>
  <c r="Z12" i="8"/>
  <c r="Z32" i="8" s="1"/>
  <c r="S12" i="8"/>
  <c r="S32" i="8" s="1"/>
  <c r="Q12" i="8"/>
  <c r="Q32" i="8" s="1"/>
  <c r="O12" i="8"/>
  <c r="O32" i="8" s="1"/>
  <c r="K12" i="8"/>
  <c r="K32" i="8" s="1"/>
  <c r="U11" i="8"/>
  <c r="U30" i="8" s="1"/>
  <c r="R11" i="8"/>
  <c r="R30" i="8" s="1"/>
  <c r="N11" i="8"/>
  <c r="N30" i="8" s="1"/>
  <c r="U9" i="8"/>
  <c r="U20" i="8" s="1"/>
  <c r="T9" i="8"/>
  <c r="T20" i="8" s="1"/>
  <c r="Q9" i="8"/>
  <c r="Q20" i="8" s="1"/>
  <c r="P9" i="8"/>
  <c r="P20" i="8" s="1"/>
  <c r="M9" i="8"/>
  <c r="M20" i="8" s="1"/>
  <c r="L9" i="8"/>
  <c r="L20" i="8" s="1"/>
  <c r="Z26" i="8"/>
  <c r="J26" i="8" l="1"/>
  <c r="R26" i="8"/>
  <c r="O11" i="8"/>
  <c r="O30" i="8" s="1"/>
  <c r="F11" i="8"/>
  <c r="F30" i="8" s="1"/>
  <c r="C20" i="2"/>
  <c r="K11" i="8"/>
  <c r="K30" i="8" s="1"/>
  <c r="F10" i="8"/>
  <c r="F25" i="8" s="1"/>
  <c r="R10" i="8"/>
  <c r="R25" i="8" s="1"/>
  <c r="R27" i="8" s="1"/>
  <c r="Q13" i="8"/>
  <c r="Q34" i="8" s="1"/>
  <c r="Y26" i="8"/>
  <c r="U26" i="8"/>
  <c r="Q26" i="8"/>
  <c r="M26" i="8"/>
  <c r="I26" i="8"/>
  <c r="I27" i="8" s="1"/>
  <c r="AB26" i="8"/>
  <c r="AB27" i="8" s="1"/>
  <c r="X26" i="8"/>
  <c r="X27" i="8" s="1"/>
  <c r="T26" i="8"/>
  <c r="P26" i="8"/>
  <c r="L26" i="8"/>
  <c r="H26" i="8"/>
  <c r="H27" i="8" s="1"/>
  <c r="S10" i="8"/>
  <c r="S25" i="8" s="1"/>
  <c r="P12" i="8"/>
  <c r="P32" i="8" s="1"/>
  <c r="Y27" i="8"/>
  <c r="S26" i="8"/>
  <c r="N9" i="8"/>
  <c r="N20" i="8" s="1"/>
  <c r="R9" i="8"/>
  <c r="R20" i="8" s="1"/>
  <c r="L10" i="8"/>
  <c r="L25" i="8" s="1"/>
  <c r="P10" i="8"/>
  <c r="P25" i="8" s="1"/>
  <c r="T10" i="8"/>
  <c r="T25" i="8" s="1"/>
  <c r="L11" i="8"/>
  <c r="L30" i="8" s="1"/>
  <c r="P11" i="8"/>
  <c r="P30" i="8" s="1"/>
  <c r="T11" i="8"/>
  <c r="T30" i="8" s="1"/>
  <c r="N13" i="8"/>
  <c r="N34" i="8" s="1"/>
  <c r="R13" i="8"/>
  <c r="R34" i="8" s="1"/>
  <c r="N26" i="8"/>
  <c r="N27" i="8" s="1"/>
  <c r="V26" i="8"/>
  <c r="V27" i="8" s="1"/>
  <c r="S11" i="8"/>
  <c r="S30" i="8" s="1"/>
  <c r="N10" i="8"/>
  <c r="N25" i="8" s="1"/>
  <c r="M13" i="8"/>
  <c r="M34" i="8" s="1"/>
  <c r="U13" i="8"/>
  <c r="U34" i="8" s="1"/>
  <c r="K10" i="8"/>
  <c r="K25" i="8" s="1"/>
  <c r="O10" i="8"/>
  <c r="O25" i="8" s="1"/>
  <c r="L12" i="8"/>
  <c r="L32" i="8" s="1"/>
  <c r="T12" i="8"/>
  <c r="T32" i="8" s="1"/>
  <c r="K26" i="8"/>
  <c r="AA26" i="8"/>
  <c r="AA27" i="8" s="1"/>
  <c r="K9" i="8"/>
  <c r="K20" i="8" s="1"/>
  <c r="O9" i="8"/>
  <c r="O20" i="8" s="1"/>
  <c r="S9" i="8"/>
  <c r="S20" i="8" s="1"/>
  <c r="M10" i="8"/>
  <c r="M25" i="8" s="1"/>
  <c r="Q10" i="8"/>
  <c r="Q25" i="8" s="1"/>
  <c r="U10" i="8"/>
  <c r="U25" i="8" s="1"/>
  <c r="N12" i="8"/>
  <c r="N32" i="8" s="1"/>
  <c r="R12" i="8"/>
  <c r="R32" i="8" s="1"/>
  <c r="Y12" i="8"/>
  <c r="Y32" i="8" s="1"/>
  <c r="F12" i="8"/>
  <c r="F32" i="8" s="1"/>
  <c r="G26" i="8"/>
  <c r="G27" i="8" s="1"/>
  <c r="O26" i="8"/>
  <c r="O27" i="8" s="1"/>
  <c r="W26" i="8"/>
  <c r="W27" i="8" s="1"/>
  <c r="J27" i="8"/>
  <c r="Z27" i="8"/>
  <c r="A11" i="2"/>
  <c r="A12" i="2" s="1"/>
  <c r="A13" i="2" s="1"/>
  <c r="A16" i="2" s="1"/>
  <c r="Q27" i="8" l="1"/>
  <c r="T27" i="8"/>
  <c r="S27" i="8"/>
  <c r="M27" i="8"/>
  <c r="F27" i="8"/>
  <c r="L27" i="8"/>
  <c r="K27" i="8"/>
  <c r="P27" i="8"/>
  <c r="D20" i="2"/>
  <c r="F9" i="8"/>
  <c r="F20" i="8" s="1"/>
  <c r="U27" i="8"/>
  <c r="E20" i="2" l="1"/>
  <c r="F20" i="2" l="1"/>
  <c r="G20" i="2" l="1"/>
  <c r="H20" i="2" l="1"/>
  <c r="I20" i="2" l="1"/>
  <c r="W4" i="13"/>
  <c r="W17" i="13" s="1"/>
  <c r="J20" i="2" l="1"/>
  <c r="X4" i="13"/>
  <c r="K20" i="2" l="1"/>
  <c r="X17" i="13"/>
  <c r="L20" i="2" l="1"/>
  <c r="C8" i="2"/>
  <c r="M20" i="2" l="1"/>
  <c r="N20" i="2" l="1"/>
  <c r="O20" i="2" l="1"/>
  <c r="P20" i="2" l="1"/>
  <c r="Q20" i="2" l="1"/>
  <c r="AA35" i="8" l="1"/>
  <c r="W35" i="8"/>
  <c r="S35" i="8"/>
  <c r="O35" i="8"/>
  <c r="K35" i="8"/>
  <c r="G35" i="8"/>
  <c r="Z35" i="8"/>
  <c r="V35" i="8"/>
  <c r="R35" i="8"/>
  <c r="N35" i="8"/>
  <c r="J35" i="8"/>
  <c r="F35" i="8"/>
  <c r="Y35" i="8"/>
  <c r="U35" i="8"/>
  <c r="Q35" i="8"/>
  <c r="M35" i="8"/>
  <c r="I35" i="8"/>
  <c r="AB35" i="8"/>
  <c r="X35" i="8"/>
  <c r="T35" i="8"/>
  <c r="P35" i="8"/>
  <c r="L35" i="8"/>
  <c r="H35" i="8"/>
  <c r="Z33" i="8"/>
  <c r="V33" i="8"/>
  <c r="R33" i="8"/>
  <c r="N33" i="8"/>
  <c r="J33" i="8"/>
  <c r="F33" i="8"/>
  <c r="Y33" i="8"/>
  <c r="U33" i="8"/>
  <c r="Q33" i="8"/>
  <c r="M33" i="8"/>
  <c r="I33" i="8"/>
  <c r="AB33" i="8"/>
  <c r="X33" i="8"/>
  <c r="T33" i="8"/>
  <c r="P33" i="8"/>
  <c r="L33" i="8"/>
  <c r="H33" i="8"/>
  <c r="AA33" i="8"/>
  <c r="W33" i="8"/>
  <c r="O33" i="8"/>
  <c r="K33" i="8"/>
  <c r="G33" i="8"/>
  <c r="S33" i="8"/>
  <c r="Y31" i="8"/>
  <c r="Y36" i="8" s="1"/>
  <c r="U31" i="8"/>
  <c r="Q31" i="8"/>
  <c r="M31" i="8"/>
  <c r="I31" i="8"/>
  <c r="I36" i="8" s="1"/>
  <c r="AB31" i="8"/>
  <c r="AB36" i="8" s="1"/>
  <c r="X31" i="8"/>
  <c r="T31" i="8"/>
  <c r="P31" i="8"/>
  <c r="P36" i="8" s="1"/>
  <c r="L31" i="8"/>
  <c r="L36" i="8" s="1"/>
  <c r="H31" i="8"/>
  <c r="AA31" i="8"/>
  <c r="AA36" i="8" s="1"/>
  <c r="W31" i="8"/>
  <c r="W36" i="8" s="1"/>
  <c r="S31" i="8"/>
  <c r="O31" i="8"/>
  <c r="K31" i="8"/>
  <c r="G31" i="8"/>
  <c r="Z31" i="8"/>
  <c r="Z36" i="8" s="1"/>
  <c r="V31" i="8"/>
  <c r="R31" i="8"/>
  <c r="N31" i="8"/>
  <c r="J31" i="8"/>
  <c r="F31" i="8"/>
  <c r="R20" i="2"/>
  <c r="W4" i="11"/>
  <c r="X4" i="11" s="1"/>
  <c r="S36" i="8" l="1"/>
  <c r="U36" i="8"/>
  <c r="J36" i="8"/>
  <c r="N36" i="8"/>
  <c r="R36" i="8"/>
  <c r="K36" i="8"/>
  <c r="T36" i="8"/>
  <c r="M36" i="8"/>
  <c r="F36" i="8"/>
  <c r="V36" i="8"/>
  <c r="O36" i="8"/>
  <c r="H36" i="8"/>
  <c r="X36" i="8"/>
  <c r="Q36" i="8"/>
  <c r="S20" i="2"/>
  <c r="X16" i="11"/>
  <c r="X36" i="11"/>
  <c r="X26" i="11"/>
  <c r="C20" i="11"/>
  <c r="C17" i="11"/>
  <c r="W26" i="11"/>
  <c r="W16" i="11"/>
  <c r="W36" i="11"/>
  <c r="C18" i="11"/>
  <c r="C19" i="11"/>
  <c r="B22" i="11"/>
  <c r="C21" i="11"/>
  <c r="T20" i="2" l="1"/>
  <c r="D22" i="11"/>
  <c r="C22" i="11"/>
  <c r="U20" i="2" l="1"/>
  <c r="D8" i="2"/>
  <c r="C13" i="2"/>
  <c r="AB21" i="8" l="1"/>
  <c r="AB22" i="8" s="1"/>
  <c r="X21" i="8"/>
  <c r="X22" i="8" s="1"/>
  <c r="T21" i="8"/>
  <c r="T22" i="8" s="1"/>
  <c r="P21" i="8"/>
  <c r="P22" i="8" s="1"/>
  <c r="L21" i="8"/>
  <c r="L22" i="8" s="1"/>
  <c r="H21" i="8"/>
  <c r="AA21" i="8"/>
  <c r="AA22" i="8" s="1"/>
  <c r="W21" i="8"/>
  <c r="W22" i="8" s="1"/>
  <c r="S21" i="8"/>
  <c r="S22" i="8" s="1"/>
  <c r="O21" i="8"/>
  <c r="O22" i="8" s="1"/>
  <c r="K21" i="8"/>
  <c r="K22" i="8" s="1"/>
  <c r="G21" i="8"/>
  <c r="G22" i="8" s="1"/>
  <c r="V21" i="8"/>
  <c r="V22" i="8" s="1"/>
  <c r="N21" i="8"/>
  <c r="N22" i="8" s="1"/>
  <c r="F21" i="8"/>
  <c r="F22" i="8" s="1"/>
  <c r="R21" i="8"/>
  <c r="R22" i="8" s="1"/>
  <c r="Y21" i="8"/>
  <c r="Y22" i="8" s="1"/>
  <c r="Q21" i="8"/>
  <c r="Q22" i="8" s="1"/>
  <c r="U21" i="8"/>
  <c r="U22" i="8" s="1"/>
  <c r="M21" i="8"/>
  <c r="M22" i="8" s="1"/>
  <c r="Z21" i="8"/>
  <c r="Z22" i="8" s="1"/>
  <c r="J21" i="8"/>
  <c r="J22" i="8" s="1"/>
  <c r="I21" i="8"/>
  <c r="I22" i="8" s="1"/>
  <c r="D13" i="2"/>
  <c r="V20" i="2"/>
  <c r="E8" i="2"/>
  <c r="AB38" i="8"/>
  <c r="AB39" i="8" s="1"/>
  <c r="AB43" i="8" s="1"/>
  <c r="D11" i="1"/>
  <c r="E13" i="2" l="1"/>
  <c r="W20" i="2"/>
  <c r="H7" i="8"/>
  <c r="F7" i="8"/>
  <c r="F42" i="8" s="1"/>
  <c r="X20" i="2" l="1"/>
  <c r="F13" i="2"/>
  <c r="G13" i="2" l="1"/>
  <c r="Y20" i="2"/>
  <c r="A9" i="8"/>
  <c r="A10" i="8" s="1"/>
  <c r="AA3" i="8"/>
  <c r="H13" i="2" l="1"/>
  <c r="A11" i="8"/>
  <c r="A12" i="8" s="1"/>
  <c r="I13" i="2" l="1"/>
  <c r="A17" i="8"/>
  <c r="A19" i="8" s="1"/>
  <c r="A20" i="8" s="1"/>
  <c r="D22" i="8" l="1"/>
  <c r="J13" i="2"/>
  <c r="A21" i="8"/>
  <c r="A22" i="8" s="1"/>
  <c r="A24" i="8" s="1"/>
  <c r="A25" i="8" s="1"/>
  <c r="A26" i="8" l="1"/>
  <c r="A27" i="8" s="1"/>
  <c r="A29" i="8" s="1"/>
  <c r="A30" i="8" s="1"/>
  <c r="A31" i="8" s="1"/>
  <c r="A32" i="8" s="1"/>
  <c r="A33" i="8" s="1"/>
  <c r="A34" i="8" s="1"/>
  <c r="A35" i="8" s="1"/>
  <c r="A36" i="8" s="1"/>
  <c r="K13" i="2"/>
  <c r="D36" i="8" l="1"/>
  <c r="D27" i="8"/>
  <c r="A38" i="8"/>
  <c r="D38" i="8"/>
  <c r="L13" i="2"/>
  <c r="A39" i="8" l="1"/>
  <c r="D39" i="8"/>
  <c r="M13" i="2"/>
  <c r="H42" i="8"/>
  <c r="G42" i="8"/>
  <c r="A41" i="8" l="1"/>
  <c r="A42" i="8" s="1"/>
  <c r="D43" i="8"/>
  <c r="N13" i="2"/>
  <c r="H15" i="8"/>
  <c r="G15" i="8"/>
  <c r="F15" i="8"/>
  <c r="A43" i="8" l="1"/>
  <c r="A44" i="8" s="1"/>
  <c r="O13" i="2"/>
  <c r="AA38" i="8"/>
  <c r="AA39" i="8" s="1"/>
  <c r="AA43" i="8" s="1"/>
  <c r="Q38" i="8"/>
  <c r="Q39" i="8" s="1"/>
  <c r="Q43" i="8" s="1"/>
  <c r="J38" i="8"/>
  <c r="J39" i="8" s="1"/>
  <c r="J43" i="8" s="1"/>
  <c r="A46" i="8" l="1"/>
  <c r="A48" i="8" s="1"/>
  <c r="A49" i="8" s="1"/>
  <c r="D49" i="8"/>
  <c r="D44" i="8"/>
  <c r="P13" i="2"/>
  <c r="Z38" i="8"/>
  <c r="Z39" i="8" s="1"/>
  <c r="Z43" i="8" s="1"/>
  <c r="W38" i="8"/>
  <c r="W39" i="8" s="1"/>
  <c r="W43" i="8" s="1"/>
  <c r="Y38" i="8"/>
  <c r="Y39" i="8" s="1"/>
  <c r="Y43" i="8" s="1"/>
  <c r="V38" i="8"/>
  <c r="V39" i="8" s="1"/>
  <c r="V43" i="8" s="1"/>
  <c r="I38" i="8"/>
  <c r="I39" i="8" s="1"/>
  <c r="I43" i="8" s="1"/>
  <c r="U38" i="8"/>
  <c r="U39" i="8" s="1"/>
  <c r="U43" i="8" s="1"/>
  <c r="R38" i="8"/>
  <c r="R39" i="8" s="1"/>
  <c r="R43" i="8" s="1"/>
  <c r="H38" i="8"/>
  <c r="H39" i="8" s="1"/>
  <c r="H43" i="8" s="1"/>
  <c r="H44" i="8" s="1"/>
  <c r="H49" i="8" s="1"/>
  <c r="H50" i="8" s="1"/>
  <c r="G38" i="8"/>
  <c r="G39" i="8" s="1"/>
  <c r="G43" i="8" s="1"/>
  <c r="G44" i="8" s="1"/>
  <c r="S38" i="8"/>
  <c r="S39" i="8" s="1"/>
  <c r="S43" i="8" s="1"/>
  <c r="K38" i="8"/>
  <c r="K39" i="8" s="1"/>
  <c r="K43" i="8" s="1"/>
  <c r="F38" i="8"/>
  <c r="F39" i="8" s="1"/>
  <c r="F43" i="8" s="1"/>
  <c r="F44" i="8" s="1"/>
  <c r="T38" i="8"/>
  <c r="T39" i="8" s="1"/>
  <c r="T43" i="8" s="1"/>
  <c r="P38" i="8"/>
  <c r="P39" i="8" s="1"/>
  <c r="P43" i="8" s="1"/>
  <c r="M38" i="8"/>
  <c r="M39" i="8" s="1"/>
  <c r="M43" i="8" s="1"/>
  <c r="X38" i="8"/>
  <c r="X39" i="8" s="1"/>
  <c r="X43" i="8" s="1"/>
  <c r="N38" i="8"/>
  <c r="N39" i="8" s="1"/>
  <c r="N43" i="8" s="1"/>
  <c r="L38" i="8"/>
  <c r="L39" i="8" s="1"/>
  <c r="L43" i="8" s="1"/>
  <c r="O38" i="8"/>
  <c r="O39" i="8" s="1"/>
  <c r="O43" i="8" s="1"/>
  <c r="A50" i="8" l="1"/>
  <c r="D50" i="8"/>
  <c r="Q13" i="2"/>
  <c r="G49" i="8"/>
  <c r="F49" i="8"/>
  <c r="F50" i="8" s="1"/>
  <c r="R13" i="2" l="1"/>
  <c r="G50" i="8"/>
  <c r="D5" i="11" s="1"/>
  <c r="C5" i="11"/>
  <c r="S13" i="2" l="1"/>
  <c r="A17" i="1"/>
  <c r="T13" i="2" l="1"/>
  <c r="X5" i="2"/>
  <c r="U13" i="2" l="1"/>
  <c r="A17" i="2"/>
  <c r="A18" i="2" s="1"/>
  <c r="A19" i="2" s="1"/>
  <c r="A20" i="2" s="1"/>
  <c r="A4" i="1"/>
  <c r="A5" i="1" s="1"/>
  <c r="A6" i="1" s="1"/>
  <c r="A10" i="1" s="1"/>
  <c r="A11" i="1" s="1"/>
  <c r="V13" i="2" l="1"/>
  <c r="A13" i="1"/>
  <c r="A19" i="1" s="1"/>
  <c r="W13" i="2" l="1"/>
  <c r="X13" i="2" l="1"/>
  <c r="D10" i="11"/>
  <c r="D31" i="11" s="1"/>
  <c r="C10" i="11"/>
  <c r="C31" i="11" s="1"/>
  <c r="C41" i="11" s="1"/>
  <c r="B11" i="11"/>
  <c r="D6" i="11"/>
  <c r="D27" i="11" s="1"/>
  <c r="C6" i="11"/>
  <c r="C27" i="11" s="1"/>
  <c r="C37" i="11" s="1"/>
  <c r="C7" i="11"/>
  <c r="C28" i="11" s="1"/>
  <c r="C38" i="11" s="1"/>
  <c r="D7" i="11"/>
  <c r="D28" i="11" s="1"/>
  <c r="C9" i="11"/>
  <c r="C30" i="11" s="1"/>
  <c r="C40" i="11" s="1"/>
  <c r="D9" i="11"/>
  <c r="D30" i="11" s="1"/>
  <c r="D8" i="11"/>
  <c r="D29" i="11" s="1"/>
  <c r="C8" i="11"/>
  <c r="C29" i="11" s="1"/>
  <c r="C39" i="11" s="1"/>
  <c r="B6" i="14" l="1"/>
  <c r="B4" i="14"/>
  <c r="B7" i="14"/>
  <c r="B5" i="14"/>
  <c r="B8" i="14"/>
  <c r="Y13" i="2"/>
  <c r="D37" i="11"/>
  <c r="C11" i="11"/>
  <c r="C32" i="11" s="1"/>
  <c r="C42" i="11" s="1"/>
  <c r="D11" i="11"/>
  <c r="D32" i="11" s="1"/>
  <c r="D39" i="11"/>
  <c r="D40" i="11"/>
  <c r="D38" i="11"/>
  <c r="D41" i="11"/>
  <c r="B9" i="14" l="1"/>
  <c r="D6" i="13"/>
  <c r="D8" i="13"/>
  <c r="D7" i="13"/>
  <c r="D9" i="13"/>
  <c r="D5" i="13"/>
  <c r="D42" i="11"/>
  <c r="D10" i="13" l="1"/>
  <c r="D13" i="13" l="1"/>
  <c r="D20" i="13" s="1"/>
  <c r="D18" i="13" l="1"/>
  <c r="D21" i="13"/>
  <c r="C7" i="14" s="1"/>
  <c r="D22" i="13"/>
  <c r="C8" i="14" s="1"/>
  <c r="D19" i="13"/>
  <c r="D23" i="13"/>
  <c r="C6" i="14"/>
  <c r="C4" i="14"/>
  <c r="C5" i="14" l="1"/>
  <c r="C9" i="14"/>
  <c r="K41" i="11" l="1"/>
  <c r="E41" i="11"/>
  <c r="P41" i="11"/>
  <c r="O41" i="11"/>
  <c r="F41" i="11"/>
  <c r="U41" i="11"/>
  <c r="N41" i="11"/>
  <c r="W41" i="11"/>
  <c r="I41" i="11"/>
  <c r="J41" i="11"/>
  <c r="Q41" i="11"/>
  <c r="X41" i="11"/>
  <c r="H41" i="11"/>
  <c r="G41" i="11"/>
  <c r="V41" i="11"/>
  <c r="M41" i="11"/>
  <c r="S41" i="11"/>
  <c r="T41" i="11"/>
  <c r="L41" i="11"/>
  <c r="R41" i="11"/>
  <c r="L39" i="11"/>
  <c r="E39" i="11"/>
  <c r="V39" i="11"/>
  <c r="O39" i="11"/>
  <c r="R39" i="11"/>
  <c r="G39" i="11"/>
  <c r="T39" i="11"/>
  <c r="N39" i="11"/>
  <c r="U39" i="11"/>
  <c r="P39" i="11"/>
  <c r="I39" i="11"/>
  <c r="J39" i="11"/>
  <c r="K39" i="11"/>
  <c r="Q39" i="11"/>
  <c r="W39" i="11"/>
  <c r="F39" i="11"/>
  <c r="M39" i="11"/>
  <c r="X39" i="11"/>
  <c r="H39" i="11"/>
  <c r="S39" i="11"/>
  <c r="T37" i="11"/>
  <c r="F37" i="11"/>
  <c r="E37" i="11"/>
  <c r="I37" i="11"/>
  <c r="P37" i="11"/>
  <c r="O37" i="11"/>
  <c r="H37" i="11"/>
  <c r="N37" i="11"/>
  <c r="R37" i="11"/>
  <c r="K37" i="11"/>
  <c r="L37" i="11"/>
  <c r="U37" i="11"/>
  <c r="M37" i="11"/>
  <c r="V37" i="11"/>
  <c r="S37" i="11"/>
  <c r="Q37" i="11"/>
  <c r="J37" i="11"/>
  <c r="W37" i="11"/>
  <c r="G37" i="11"/>
  <c r="X37" i="11"/>
  <c r="E42" i="11"/>
  <c r="U42" i="11"/>
  <c r="N42" i="11"/>
  <c r="X42" i="11"/>
  <c r="S42" i="11"/>
  <c r="V42" i="11"/>
  <c r="H42" i="11"/>
  <c r="J42" i="11"/>
  <c r="O42" i="11"/>
  <c r="I42" i="11"/>
  <c r="L42" i="11"/>
  <c r="R42" i="11"/>
  <c r="G42" i="11"/>
  <c r="W42" i="11"/>
  <c r="M42" i="11"/>
  <c r="F42" i="11"/>
  <c r="K42" i="11"/>
  <c r="Q42" i="11"/>
  <c r="P42" i="11"/>
  <c r="T42" i="11"/>
  <c r="N40" i="11"/>
  <c r="L40" i="11"/>
  <c r="U40" i="11"/>
  <c r="T40" i="11"/>
  <c r="S40" i="11"/>
  <c r="J40" i="11"/>
  <c r="H40" i="11"/>
  <c r="O40" i="11"/>
  <c r="F40" i="11"/>
  <c r="K40" i="11"/>
  <c r="X40" i="11"/>
  <c r="G40" i="11"/>
  <c r="I40" i="11"/>
  <c r="Q40" i="11"/>
  <c r="W40" i="11"/>
  <c r="P40" i="11"/>
  <c r="M40" i="11"/>
  <c r="R40" i="11"/>
  <c r="E40" i="11"/>
  <c r="V40" i="11"/>
  <c r="E38" i="11"/>
  <c r="M38" i="11"/>
  <c r="N38" i="11"/>
  <c r="O38" i="11"/>
  <c r="U38" i="11"/>
  <c r="Q38" i="11"/>
  <c r="I38" i="11"/>
  <c r="R38" i="11"/>
  <c r="V38" i="11"/>
  <c r="H38" i="11"/>
  <c r="S38" i="11"/>
  <c r="F38" i="11"/>
  <c r="P38" i="11"/>
  <c r="T38" i="11"/>
  <c r="G38" i="11"/>
  <c r="K38" i="11"/>
  <c r="X38" i="11"/>
  <c r="L38" i="11"/>
  <c r="J38" i="11"/>
  <c r="W38" i="11"/>
  <c r="F6" i="13" l="1"/>
  <c r="V8" i="13"/>
  <c r="P8" i="13"/>
  <c r="G8" i="13"/>
  <c r="O8" i="13"/>
  <c r="T8" i="13"/>
  <c r="T10" i="13"/>
  <c r="T13" i="13" s="1"/>
  <c r="F10" i="13"/>
  <c r="R10" i="13"/>
  <c r="J10" i="13"/>
  <c r="X10" i="13"/>
  <c r="X23" i="13" s="1"/>
  <c r="X5" i="13"/>
  <c r="Q5" i="13"/>
  <c r="U5" i="13"/>
  <c r="N5" i="13"/>
  <c r="I5" i="13"/>
  <c r="S7" i="13"/>
  <c r="F7" i="13"/>
  <c r="J7" i="13"/>
  <c r="N7" i="13"/>
  <c r="O7" i="13"/>
  <c r="R9" i="13"/>
  <c r="M9" i="13"/>
  <c r="X9" i="13"/>
  <c r="W9" i="13"/>
  <c r="O9" i="13"/>
  <c r="K6" i="13"/>
  <c r="S6" i="13"/>
  <c r="W8" i="13"/>
  <c r="P10" i="13"/>
  <c r="P13" i="13" s="1"/>
  <c r="L10" i="13"/>
  <c r="N10" i="13"/>
  <c r="G5" i="13"/>
  <c r="S5" i="13"/>
  <c r="L5" i="13"/>
  <c r="H5" i="13"/>
  <c r="E5" i="13"/>
  <c r="H7" i="13"/>
  <c r="W7" i="13"/>
  <c r="I7" i="13"/>
  <c r="T7" i="13"/>
  <c r="V7" i="13"/>
  <c r="L9" i="13"/>
  <c r="V9" i="13"/>
  <c r="Q9" i="13"/>
  <c r="N9" i="13"/>
  <c r="P9" i="13"/>
  <c r="R6" i="13"/>
  <c r="J6" i="13"/>
  <c r="I6" i="13"/>
  <c r="E8" i="13"/>
  <c r="U8" i="13"/>
  <c r="H10" i="13"/>
  <c r="T6" i="13"/>
  <c r="H6" i="13"/>
  <c r="Q6" i="13"/>
  <c r="M6" i="13"/>
  <c r="R8" i="13"/>
  <c r="Q8" i="13"/>
  <c r="K8" i="13"/>
  <c r="J8" i="13"/>
  <c r="L8" i="13"/>
  <c r="Q10" i="13"/>
  <c r="W10" i="13"/>
  <c r="I10" i="13"/>
  <c r="V10" i="13"/>
  <c r="U10" i="13"/>
  <c r="U13" i="13" s="1"/>
  <c r="W5" i="13"/>
  <c r="V5" i="13"/>
  <c r="K5" i="13"/>
  <c r="O5" i="13"/>
  <c r="F5" i="13"/>
  <c r="X7" i="13"/>
  <c r="Q7" i="13"/>
  <c r="P7" i="13"/>
  <c r="G7" i="13"/>
  <c r="E7" i="13"/>
  <c r="T9" i="13"/>
  <c r="G9" i="13"/>
  <c r="J9" i="13"/>
  <c r="U9" i="13"/>
  <c r="E9" i="13"/>
  <c r="W6" i="13"/>
  <c r="O6" i="13"/>
  <c r="G6" i="13"/>
  <c r="N6" i="13"/>
  <c r="X8" i="13"/>
  <c r="X21" i="13" s="1"/>
  <c r="H8" i="13"/>
  <c r="M10" i="13"/>
  <c r="L6" i="13"/>
  <c r="X6" i="13"/>
  <c r="P6" i="13"/>
  <c r="V6" i="13"/>
  <c r="U6" i="13"/>
  <c r="E6" i="13"/>
  <c r="M8" i="13"/>
  <c r="I8" i="13"/>
  <c r="F8" i="13"/>
  <c r="S8" i="13"/>
  <c r="N8" i="13"/>
  <c r="K10" i="13"/>
  <c r="K13" i="13" s="1"/>
  <c r="G10" i="13"/>
  <c r="G13" i="13" s="1"/>
  <c r="O10" i="13"/>
  <c r="O13" i="13" s="1"/>
  <c r="S10" i="13"/>
  <c r="E10" i="13"/>
  <c r="E13" i="13" s="1"/>
  <c r="J5" i="13"/>
  <c r="M5" i="13"/>
  <c r="R5" i="13"/>
  <c r="P5" i="13"/>
  <c r="T5" i="13"/>
  <c r="M7" i="13"/>
  <c r="K7" i="13"/>
  <c r="U7" i="13"/>
  <c r="R7" i="13"/>
  <c r="L7" i="13"/>
  <c r="S9" i="13"/>
  <c r="H9" i="13"/>
  <c r="I9" i="13"/>
  <c r="F9" i="13"/>
  <c r="K9" i="13"/>
  <c r="H13" i="13"/>
  <c r="R13" i="13"/>
  <c r="I13" i="13"/>
  <c r="V13" i="13"/>
  <c r="X20" i="13"/>
  <c r="J13" i="13"/>
  <c r="X19" i="13"/>
  <c r="N13" i="13" l="1"/>
  <c r="L13" i="13"/>
  <c r="L18" i="13" s="1"/>
  <c r="S13" i="13"/>
  <c r="S23" i="13" s="1"/>
  <c r="W13" i="13"/>
  <c r="W20" i="13" s="1"/>
  <c r="F13" i="13"/>
  <c r="F18" i="13" s="1"/>
  <c r="Q13" i="13"/>
  <c r="Q19" i="13" s="1"/>
  <c r="X18" i="13"/>
  <c r="W4" i="14" s="1"/>
  <c r="X22" i="13"/>
  <c r="M13" i="13"/>
  <c r="M18" i="13" s="1"/>
  <c r="U23" i="13"/>
  <c r="U18" i="13"/>
  <c r="U22" i="13"/>
  <c r="U21" i="13"/>
  <c r="U19" i="13"/>
  <c r="U20" i="13"/>
  <c r="G23" i="13"/>
  <c r="G19" i="13"/>
  <c r="G21" i="13"/>
  <c r="G20" i="13"/>
  <c r="G18" i="13"/>
  <c r="G22" i="13"/>
  <c r="R22" i="13"/>
  <c r="R19" i="13"/>
  <c r="R21" i="13"/>
  <c r="R23" i="13"/>
  <c r="R20" i="13"/>
  <c r="R18" i="13"/>
  <c r="N21" i="13"/>
  <c r="N19" i="13"/>
  <c r="N23" i="13"/>
  <c r="N22" i="13"/>
  <c r="N18" i="13"/>
  <c r="N20" i="13"/>
  <c r="L23" i="13"/>
  <c r="L19" i="13"/>
  <c r="P18" i="13"/>
  <c r="P21" i="13"/>
  <c r="P19" i="13"/>
  <c r="P22" i="13"/>
  <c r="P23" i="13"/>
  <c r="P20" i="13"/>
  <c r="W9" i="14"/>
  <c r="I23" i="13"/>
  <c r="I18" i="13"/>
  <c r="I22" i="13"/>
  <c r="I19" i="13"/>
  <c r="I21" i="13"/>
  <c r="I20" i="13"/>
  <c r="J21" i="13"/>
  <c r="J20" i="13"/>
  <c r="J22" i="13"/>
  <c r="J19" i="13"/>
  <c r="J23" i="13"/>
  <c r="J18" i="13"/>
  <c r="W5" i="14"/>
  <c r="V23" i="13"/>
  <c r="V22" i="13"/>
  <c r="V21" i="13"/>
  <c r="V20" i="13"/>
  <c r="V19" i="13"/>
  <c r="V18" i="13"/>
  <c r="Q18" i="13"/>
  <c r="Q20" i="13"/>
  <c r="Q22" i="13"/>
  <c r="E22" i="13"/>
  <c r="E21" i="13"/>
  <c r="E20" i="13"/>
  <c r="E19" i="13"/>
  <c r="E23" i="13"/>
  <c r="E18" i="13"/>
  <c r="O21" i="13"/>
  <c r="O23" i="13"/>
  <c r="O22" i="13"/>
  <c r="O20" i="13"/>
  <c r="O18" i="13"/>
  <c r="O19" i="13"/>
  <c r="K20" i="13"/>
  <c r="K23" i="13"/>
  <c r="K19" i="13"/>
  <c r="K22" i="13"/>
  <c r="K21" i="13"/>
  <c r="K18" i="13"/>
  <c r="T19" i="13"/>
  <c r="T20" i="13"/>
  <c r="T18" i="13"/>
  <c r="T21" i="13"/>
  <c r="T23" i="13"/>
  <c r="T22" i="13"/>
  <c r="W6" i="14"/>
  <c r="H19" i="13"/>
  <c r="H22" i="13"/>
  <c r="H21" i="13"/>
  <c r="H18" i="13"/>
  <c r="H20" i="13"/>
  <c r="H23" i="13"/>
  <c r="W7" i="14"/>
  <c r="S19" i="13" l="1"/>
  <c r="F22" i="13"/>
  <c r="M21" i="13"/>
  <c r="M23" i="13"/>
  <c r="Q23" i="13"/>
  <c r="W18" i="13"/>
  <c r="Q21" i="13"/>
  <c r="P7" i="14" s="1"/>
  <c r="W8" i="14"/>
  <c r="W23" i="13"/>
  <c r="V9" i="14" s="1"/>
  <c r="W22" i="13"/>
  <c r="V8" i="14" s="1"/>
  <c r="W21" i="13"/>
  <c r="W19" i="13"/>
  <c r="V5" i="14" s="1"/>
  <c r="F23" i="13"/>
  <c r="E9" i="14" s="1"/>
  <c r="S18" i="13"/>
  <c r="R4" i="14" s="1"/>
  <c r="S20" i="13"/>
  <c r="F20" i="13"/>
  <c r="E6" i="14" s="1"/>
  <c r="F21" i="13"/>
  <c r="E7" i="14" s="1"/>
  <c r="S21" i="13"/>
  <c r="R7" i="14" s="1"/>
  <c r="S22" i="13"/>
  <c r="R8" i="14" s="1"/>
  <c r="L22" i="13"/>
  <c r="K8" i="14" s="1"/>
  <c r="L21" i="13"/>
  <c r="F19" i="13"/>
  <c r="L20" i="13"/>
  <c r="K6" i="14" s="1"/>
  <c r="M19" i="13"/>
  <c r="M22" i="13"/>
  <c r="M20" i="13"/>
  <c r="L6" i="14" s="1"/>
  <c r="L4" i="14"/>
  <c r="G5" i="14"/>
  <c r="S8" i="14"/>
  <c r="S6" i="14"/>
  <c r="J7" i="14"/>
  <c r="J6" i="14"/>
  <c r="N8" i="14"/>
  <c r="D9" i="14"/>
  <c r="D8" i="14"/>
  <c r="P8" i="14"/>
  <c r="I9" i="14"/>
  <c r="H5" i="14"/>
  <c r="O8" i="14"/>
  <c r="Q9" i="14"/>
  <c r="F8" i="14"/>
  <c r="F5" i="14"/>
  <c r="T7" i="14"/>
  <c r="E4" i="14"/>
  <c r="L7" i="14"/>
  <c r="L9" i="14"/>
  <c r="G4" i="14"/>
  <c r="S9" i="14"/>
  <c r="S5" i="14"/>
  <c r="J8" i="14"/>
  <c r="N5" i="14"/>
  <c r="N9" i="14"/>
  <c r="D5" i="14"/>
  <c r="R9" i="14"/>
  <c r="P6" i="14"/>
  <c r="V6" i="14"/>
  <c r="U7" i="14"/>
  <c r="I5" i="14"/>
  <c r="H8" i="14"/>
  <c r="O5" i="14"/>
  <c r="K4" i="14"/>
  <c r="M9" i="14"/>
  <c r="Q7" i="14"/>
  <c r="F4" i="14"/>
  <c r="F9" i="14"/>
  <c r="T8" i="14"/>
  <c r="G6" i="14"/>
  <c r="U6" i="14"/>
  <c r="I7" i="14"/>
  <c r="M8" i="14"/>
  <c r="E8" i="14"/>
  <c r="G7" i="14"/>
  <c r="S7" i="14"/>
  <c r="J5" i="14"/>
  <c r="N4" i="14"/>
  <c r="N7" i="14"/>
  <c r="D6" i="14"/>
  <c r="R5" i="14"/>
  <c r="P5" i="14"/>
  <c r="V4" i="14"/>
  <c r="U4" i="14"/>
  <c r="U8" i="14"/>
  <c r="I8" i="14"/>
  <c r="H6" i="14"/>
  <c r="H4" i="14"/>
  <c r="O6" i="14"/>
  <c r="O7" i="14"/>
  <c r="K5" i="14"/>
  <c r="M6" i="14"/>
  <c r="M5" i="14"/>
  <c r="Q4" i="14"/>
  <c r="Q5" i="14"/>
  <c r="F6" i="14"/>
  <c r="T6" i="14"/>
  <c r="T4" i="14"/>
  <c r="G9" i="14"/>
  <c r="G8" i="14"/>
  <c r="S4" i="14"/>
  <c r="J4" i="14"/>
  <c r="J9" i="14"/>
  <c r="N6" i="14"/>
  <c r="D4" i="14"/>
  <c r="D7" i="14"/>
  <c r="P9" i="14"/>
  <c r="P4" i="14"/>
  <c r="U5" i="14"/>
  <c r="U9" i="14"/>
  <c r="I4" i="14"/>
  <c r="I6" i="14"/>
  <c r="H7" i="14"/>
  <c r="H9" i="14"/>
  <c r="O9" i="14"/>
  <c r="O4" i="14"/>
  <c r="K9" i="14"/>
  <c r="M4" i="14"/>
  <c r="M7" i="14"/>
  <c r="Q6" i="14"/>
  <c r="Q8" i="14"/>
  <c r="F7" i="14"/>
  <c r="T5" i="14"/>
  <c r="T9" i="14"/>
  <c r="L8" i="14" l="1"/>
  <c r="K7" i="14"/>
  <c r="V7" i="14"/>
  <c r="R6" i="14"/>
  <c r="E5" i="14"/>
  <c r="L5" i="14"/>
</calcChain>
</file>

<file path=xl/sharedStrings.xml><?xml version="1.0" encoding="utf-8"?>
<sst xmlns="http://schemas.openxmlformats.org/spreadsheetml/2006/main" count="231" uniqueCount="151">
  <si>
    <t>Description</t>
  </si>
  <si>
    <t>Source of Data</t>
  </si>
  <si>
    <t>Value</t>
  </si>
  <si>
    <t>Line No.</t>
  </si>
  <si>
    <t>On Peak SP 15 Price ($/MWh)</t>
  </si>
  <si>
    <t>Off Peak SP 15 Price ($/MWh)</t>
  </si>
  <si>
    <t>On Peak Load Weight (%)</t>
  </si>
  <si>
    <t>Off Peak Load Weight (%)</t>
  </si>
  <si>
    <t>Load Weighted Average Price ($/MWh)</t>
  </si>
  <si>
    <t>Line 1 x Line 3 + Line 2 x Line 4</t>
  </si>
  <si>
    <t>Line Loss Adjustment Factor</t>
  </si>
  <si>
    <t>Cost of Portfolio</t>
  </si>
  <si>
    <t>CRS Eligible Supply</t>
  </si>
  <si>
    <t>CRS Eligible Cumulative GWh at Meter</t>
  </si>
  <si>
    <t>CTC-Eligible</t>
  </si>
  <si>
    <t>Equation</t>
  </si>
  <si>
    <t>Unit</t>
  </si>
  <si>
    <t>CTC</t>
  </si>
  <si>
    <t>$000</t>
  </si>
  <si>
    <t>GWh</t>
  </si>
  <si>
    <t>MW</t>
  </si>
  <si>
    <t>Portfolio Unit Cost</t>
  </si>
  <si>
    <t>$/MWh</t>
  </si>
  <si>
    <t>Market Value of Portfolio</t>
  </si>
  <si>
    <t>Market Value of Brown Portfolio</t>
  </si>
  <si>
    <t>Non-Renewable Energy</t>
  </si>
  <si>
    <t>MWh</t>
  </si>
  <si>
    <t>Platt's Weighted Price (Brown Benchmark)</t>
  </si>
  <si>
    <t>Market Value of Green Portfolio</t>
  </si>
  <si>
    <t>Renewable Energy</t>
  </si>
  <si>
    <t>Capacity Adder</t>
  </si>
  <si>
    <t>Average Monthly NQC</t>
  </si>
  <si>
    <t>$/kW-Year</t>
  </si>
  <si>
    <t>Market Value of Capacity</t>
  </si>
  <si>
    <t>Portfolio Market Value</t>
  </si>
  <si>
    <t>Line Loss Adjusted Portfolio Market value</t>
  </si>
  <si>
    <t>Indifference Amount</t>
  </si>
  <si>
    <t>Portfolio Total Cost</t>
  </si>
  <si>
    <t>Portfolio Unit Value</t>
  </si>
  <si>
    <t>Total Indifference Amount (Unadjusted)</t>
  </si>
  <si>
    <t>Rate Group</t>
  </si>
  <si>
    <t>CTC Indifference</t>
  </si>
  <si>
    <t>CTC Rate</t>
  </si>
  <si>
    <t>Residential</t>
  </si>
  <si>
    <t>Small Commercial</t>
  </si>
  <si>
    <t>Med&amp;Lg C&amp;I</t>
  </si>
  <si>
    <t>Agricultural</t>
  </si>
  <si>
    <t>Lighting</t>
  </si>
  <si>
    <t>System</t>
  </si>
  <si>
    <t>INPUT</t>
  </si>
  <si>
    <t>Cost of Portfolio ($000)</t>
  </si>
  <si>
    <t>CRS Eligible Net Qualifying Capacity (MW)</t>
  </si>
  <si>
    <t>CRS Eligible Cumulative Net Qualifying Capacity (MW)</t>
  </si>
  <si>
    <t>Legacy UOG</t>
  </si>
  <si>
    <t>Agriculture</t>
  </si>
  <si>
    <t>Streetlighting</t>
  </si>
  <si>
    <t>Medium &amp; Large C&amp;I</t>
  </si>
  <si>
    <t>System Total</t>
  </si>
  <si>
    <t>SONGS Settlement</t>
  </si>
  <si>
    <t xml:space="preserve">CRS Eligible Cumulative Portfolio Costs </t>
  </si>
  <si>
    <t xml:space="preserve">CRS Eligible Portfolio Costs </t>
  </si>
  <si>
    <t>Franchise Fees and Uncollectibles Factor (FF&amp;U)</t>
  </si>
  <si>
    <t>PCIA 2001 Vintage</t>
  </si>
  <si>
    <t>PCIA 2009 Vintage</t>
  </si>
  <si>
    <t>PCIA 2010 Vintage</t>
  </si>
  <si>
    <t>PCIA 2011 Vintage</t>
  </si>
  <si>
    <t>PCIA 2012 Vintage</t>
  </si>
  <si>
    <t>PCIA 2013 Vintage</t>
  </si>
  <si>
    <t>PCIA 2014 Vintage</t>
  </si>
  <si>
    <t>PCIA 2015 Vintage</t>
  </si>
  <si>
    <t>PCIA 2016 Vintage</t>
  </si>
  <si>
    <t>PCIA 2017 Vintage</t>
  </si>
  <si>
    <t>PCIA 2018 Vintage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</si>
  <si>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The CTC shown is illustrative and based off of forecasted PCIA customers using actuals tied to authorized sales. </t>
    </r>
  </si>
  <si>
    <t>CRS Eligible Portfolio Cost</t>
  </si>
  <si>
    <t>CRS Eligible Renewable Supply at Customer Meter</t>
  </si>
  <si>
    <t>PCIA 2019 Vintage</t>
  </si>
  <si>
    <t>PCIA 2002 Vintage</t>
  </si>
  <si>
    <t>PCIA 2003 Vintage</t>
  </si>
  <si>
    <t>PCIA 2004 Vintage</t>
  </si>
  <si>
    <t>PCIA 2005 Vintage</t>
  </si>
  <si>
    <t>PCIA 2006 Vintage</t>
  </si>
  <si>
    <t>PCIA 2007 Vintage</t>
  </si>
  <si>
    <r>
      <t>CTC (For All Vintages)</t>
    </r>
    <r>
      <rPr>
        <b/>
        <vertAlign val="superscript"/>
        <sz val="11"/>
        <rFont val="Times New Roman"/>
        <family val="1"/>
      </rPr>
      <t>1</t>
    </r>
  </si>
  <si>
    <t>PABA Revenue Requirement Allocation to Rate Groups (w/ FF&amp;U) ($000) -- Vintaged Revenue Requirement x Column C</t>
  </si>
  <si>
    <t>Total Indifference Amounts by Vintage</t>
  </si>
  <si>
    <t>System RA Benchmark</t>
  </si>
  <si>
    <t>Incremental Rate for Each Portfolio of Resources (Vintage Indifference Amount by Rate Group / Forecast Sales by Rate Group)</t>
  </si>
  <si>
    <t>CTC Sales</t>
  </si>
  <si>
    <t>Total Sales</t>
  </si>
  <si>
    <t>Total</t>
  </si>
  <si>
    <t>Legacy UOG &amp; Other</t>
  </si>
  <si>
    <t>Generation Revenue Allocation Factor</t>
  </si>
  <si>
    <t>CRS Eligible Flexible Net Qualifying Capacity</t>
  </si>
  <si>
    <t>CRS Eligible System Net Qualifying Capacity</t>
  </si>
  <si>
    <t>CRS Eligible Non-Renewable Supply At Customer Meter</t>
  </si>
  <si>
    <t>CRS Eligible Non-Renewable Supply at Meter</t>
  </si>
  <si>
    <t>CRS Eligible Total Net Qualifying Capacity (MW)</t>
  </si>
  <si>
    <t>CRS Eligible System NQC (System only, No flex or local)</t>
  </si>
  <si>
    <t>CRS Eligible Flexible NQC (System and flex only, No local)</t>
  </si>
  <si>
    <t>Line 6 + Line 5</t>
  </si>
  <si>
    <t>Total "Green" Benchmark ($/MWh)</t>
  </si>
  <si>
    <t>Flexible RA Benchmark ($/kW-Year)</t>
  </si>
  <si>
    <t>Local RA Benchmark</t>
  </si>
  <si>
    <t>Flexible RA Benchmark</t>
  </si>
  <si>
    <t>Average Monthly Local NQC</t>
  </si>
  <si>
    <t>Average Monthly Flexible NQC</t>
  </si>
  <si>
    <t>CRS Eligible NQC (System and local, with or without flex)</t>
  </si>
  <si>
    <t>CRS Eligible Local Net Qualifying Capacity</t>
  </si>
  <si>
    <t>Local RA Benchmark ($/kW-Year)</t>
  </si>
  <si>
    <t xml:space="preserve">Final Cumulative Rates            </t>
  </si>
  <si>
    <t xml:space="preserve"> System Sales (GWh)</t>
  </si>
  <si>
    <t>PCIA 2020 Vintage</t>
  </si>
  <si>
    <t>IOU RPS Premium ($/MWh)</t>
  </si>
  <si>
    <r>
      <t xml:space="preserve">Resolution </t>
    </r>
    <r>
      <rPr>
        <sz val="11"/>
        <rFont val="Calibri"/>
        <family val="2"/>
        <scheme val="minor"/>
      </rPr>
      <t>E-4475</t>
    </r>
  </si>
  <si>
    <t>Platt's CA Bundled REC (Bucket 1) Mid Value</t>
  </si>
  <si>
    <t>Vintage-Billing Determinants Sales (GWh)</t>
  </si>
  <si>
    <t>PCIA Inputs Line 5</t>
  </si>
  <si>
    <t>PCIA Inputs Line 6</t>
  </si>
  <si>
    <t>System RA Benchmark ($/kW-Year)</t>
  </si>
  <si>
    <t>PCIA 
2008 Vintage</t>
  </si>
  <si>
    <t>PCIA 2021 Vintage</t>
  </si>
  <si>
    <t>PCIA Inputs Line 8</t>
  </si>
  <si>
    <t>PCIA Inputs Line 9</t>
  </si>
  <si>
    <t>PCIA Inputs Line 10</t>
  </si>
  <si>
    <t>Capped?</t>
  </si>
  <si>
    <t>2020 SAR PCIA Rate</t>
  </si>
  <si>
    <t>2021 ERRA CRS Rates</t>
  </si>
  <si>
    <t>PABA</t>
  </si>
  <si>
    <t>Vintaged PABA Revenue Requirement</t>
  </si>
  <si>
    <t>Vintaged PABA Rev Req with FF&amp;U</t>
  </si>
  <si>
    <t>PABA Forecasted Year-End Balance (without FF&amp;U)</t>
  </si>
  <si>
    <t>Line 1 / Line 2</t>
  </si>
  <si>
    <t>Green Benchmark</t>
  </si>
  <si>
    <t>Portfolio Summary Line 3</t>
  </si>
  <si>
    <t>Portfolio Summary Line 4</t>
  </si>
  <si>
    <t>Portfolio Summary Line 1</t>
  </si>
  <si>
    <t>Platt's Forward Prices as of November 1, 2020</t>
  </si>
  <si>
    <t>Final Cumulative Rates - Adjusted, Capped (To Be Implemented)</t>
  </si>
  <si>
    <t>Capped Revenues 2021 (with FF&amp;U)</t>
  </si>
  <si>
    <t>Capped Revenues 2021 (without FF&amp;U)</t>
  </si>
  <si>
    <t>2018 Recorded Load - On Peak Hours</t>
  </si>
  <si>
    <t>2018 Recorded Load - Off Peak Hours</t>
  </si>
  <si>
    <t>2021 Value Provided by Energy Division</t>
  </si>
  <si>
    <t>Departed Load Vintage-Billing Determinants Sales (MWh)</t>
  </si>
  <si>
    <t>2021 ERRA Forecast - Final Capped PCIA Vintaged Rate</t>
  </si>
  <si>
    <t>Portfolio Summary Line 7</t>
  </si>
  <si>
    <t>Portfolio Summary Line 9</t>
  </si>
  <si>
    <t>Portfolio Summary Line 8</t>
  </si>
  <si>
    <t xml:space="preserve">Uncapped PCIA Rates (Cumulative) </t>
  </si>
  <si>
    <t>Aggr. Portfolio 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</si>
</sst>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"/>
    <numFmt numFmtId="165" formatCode="&quot;$&quot;#,##0.00"/>
    <numFmt numFmtId="166" formatCode="0.000"/>
    <numFmt numFmtId="167" formatCode="&quot;$&quot;#,##0"/>
    <numFmt numFmtId="168" formatCode="_(* #,##0_);_(* \(#,##0\);_(* &quot;-&quot;??_);_(@_)"/>
    <numFmt numFmtId="169" formatCode="_(&quot;$&quot;* #,##0_);_(&quot;$&quot;* \(#,##0\);_(&quot;$&quot;* &quot;-&quot;??_);_(@_)"/>
    <numFmt numFmtId="170" formatCode="0.000%"/>
    <numFmt numFmtId="171" formatCode="_(&quot;$&quot;* #,##0.00000000_);_(&quot;$&quot;* \(#,##0.00000000\);_(&quot;$&quot;* &quot;-&quot;??_);_(@_)"/>
    <numFmt numFmtId="172" formatCode="_(&quot;$&quot;* #,##0.00000_);_(&quot;$&quot;* \(#,##0.00000\);_(&quot;$&quot;* &quot;-&quot;??_);_(@_)"/>
    <numFmt numFmtId="173" formatCode="0.0000000"/>
    <numFmt numFmtId="174" formatCode="0.0%"/>
    <numFmt numFmtId="175" formatCode="_(* #,##0.00000_);_(* \(#,##0.00000\);_(* &quot;-&quot;??_);_(@_)"/>
    <numFmt numFmtId="176" formatCode="_(* #,##0.000_);_(* \(#,##0.000\);_(* &quot;-&quot;??_);_(@_)"/>
    <numFmt numFmtId="177" formatCode="General_)"/>
    <numFmt numFmtId="178" formatCode="_(&quot;$&quot;* #,##0.0000_);_(&quot;$&quot;* \(#,##0.0000\);_(&quot;$&quot;* &quot;-&quot;??_);_(@_)"/>
    <numFmt numFmtId="179" formatCode="_(* #,##0.000000_);_(* \(#,##0.0000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color theme="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9"/>
      <color theme="4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177" fontId="19" fillId="0" borderId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/>
    <xf numFmtId="165" fontId="0" fillId="0" borderId="0" xfId="1" applyNumberFormat="1" applyFont="1" applyAlignment="1"/>
    <xf numFmtId="44" fontId="0" fillId="0" borderId="0" xfId="1" applyNumberFormat="1" applyFont="1" applyAlignment="1"/>
    <xf numFmtId="166" fontId="3" fillId="0" borderId="0" xfId="1" applyNumberFormat="1" applyFont="1" applyAlignment="1"/>
    <xf numFmtId="0" fontId="4" fillId="0" borderId="0" xfId="0" applyFont="1"/>
    <xf numFmtId="6" fontId="2" fillId="0" borderId="0" xfId="0" quotePrefix="1" applyNumberFormat="1" applyFont="1"/>
    <xf numFmtId="0" fontId="2" fillId="0" borderId="0" xfId="0" applyFont="1" applyFill="1" applyBorder="1"/>
    <xf numFmtId="0" fontId="5" fillId="0" borderId="0" xfId="4" applyFont="1" applyFill="1" applyBorder="1"/>
    <xf numFmtId="0" fontId="7" fillId="0" borderId="0" xfId="4" applyFont="1" applyFill="1" applyBorder="1"/>
    <xf numFmtId="0" fontId="8" fillId="0" borderId="0" xfId="4" applyFont="1" applyFill="1" applyBorder="1"/>
    <xf numFmtId="0" fontId="7" fillId="0" borderId="0" xfId="4" quotePrefix="1" applyFont="1" applyFill="1" applyBorder="1" applyAlignment="1">
      <alignment horizontal="center"/>
    </xf>
    <xf numFmtId="0" fontId="6" fillId="0" borderId="0" xfId="4" applyFont="1" applyFill="1" applyBorder="1"/>
    <xf numFmtId="164" fontId="5" fillId="0" borderId="0" xfId="4" applyNumberFormat="1" applyFont="1" applyFill="1" applyBorder="1" applyAlignment="1">
      <alignment horizontal="center"/>
    </xf>
    <xf numFmtId="164" fontId="7" fillId="0" borderId="0" xfId="4" applyNumberFormat="1" applyFont="1" applyFill="1" applyBorder="1" applyAlignment="1">
      <alignment horizontal="left"/>
    </xf>
    <xf numFmtId="168" fontId="5" fillId="0" borderId="0" xfId="5" applyNumberFormat="1" applyFont="1" applyFill="1" applyBorder="1"/>
    <xf numFmtId="49" fontId="5" fillId="0" borderId="0" xfId="4" applyNumberFormat="1" applyFont="1" applyFill="1" applyBorder="1"/>
    <xf numFmtId="168" fontId="5" fillId="0" borderId="0" xfId="2" applyNumberFormat="1" applyFont="1" applyFill="1" applyBorder="1"/>
    <xf numFmtId="10" fontId="5" fillId="0" borderId="0" xfId="3" applyNumberFormat="1" applyFont="1" applyFill="1" applyBorder="1"/>
    <xf numFmtId="49" fontId="7" fillId="0" borderId="0" xfId="4" applyNumberFormat="1" applyFont="1" applyFill="1" applyBorder="1"/>
    <xf numFmtId="165" fontId="7" fillId="0" borderId="0" xfId="1" applyNumberFormat="1" applyFont="1" applyFill="1" applyBorder="1"/>
    <xf numFmtId="43" fontId="7" fillId="0" borderId="0" xfId="5" applyNumberFormat="1" applyFont="1" applyFill="1" applyBorder="1"/>
    <xf numFmtId="44" fontId="5" fillId="0" borderId="0" xfId="1" applyNumberFormat="1" applyFont="1" applyFill="1" applyBorder="1"/>
    <xf numFmtId="165" fontId="5" fillId="0" borderId="0" xfId="1" applyNumberFormat="1" applyFont="1" applyFill="1" applyBorder="1"/>
    <xf numFmtId="169" fontId="7" fillId="0" borderId="0" xfId="1" applyNumberFormat="1" applyFont="1" applyFill="1" applyBorder="1"/>
    <xf numFmtId="168" fontId="7" fillId="0" borderId="0" xfId="5" applyNumberFormat="1" applyFont="1" applyFill="1" applyBorder="1"/>
    <xf numFmtId="43" fontId="5" fillId="0" borderId="0" xfId="5" applyNumberFormat="1" applyFont="1" applyFill="1" applyBorder="1"/>
    <xf numFmtId="43" fontId="5" fillId="0" borderId="0" xfId="4" applyNumberFormat="1" applyFont="1" applyFill="1" applyBorder="1"/>
    <xf numFmtId="167" fontId="7" fillId="0" borderId="0" xfId="1" applyNumberFormat="1" applyFont="1" applyFill="1" applyBorder="1"/>
    <xf numFmtId="44" fontId="7" fillId="0" borderId="0" xfId="1" applyFont="1" applyFill="1" applyBorder="1"/>
    <xf numFmtId="169" fontId="5" fillId="0" borderId="0" xfId="4" applyNumberFormat="1" applyFont="1" applyFill="1" applyBorder="1"/>
    <xf numFmtId="169" fontId="7" fillId="0" borderId="0" xfId="4" applyNumberFormat="1" applyFont="1" applyFill="1" applyBorder="1"/>
    <xf numFmtId="168" fontId="3" fillId="0" borderId="0" xfId="2" applyNumberFormat="1" applyFont="1"/>
    <xf numFmtId="168" fontId="10" fillId="0" borderId="0" xfId="5" applyNumberFormat="1" applyFont="1" applyFill="1" applyBorder="1"/>
    <xf numFmtId="0" fontId="11" fillId="0" borderId="0" xfId="0" applyFont="1"/>
    <xf numFmtId="0" fontId="12" fillId="0" borderId="0" xfId="6" applyFont="1" applyFill="1" applyBorder="1" applyAlignment="1">
      <alignment horizontal="left" wrapText="1"/>
    </xf>
    <xf numFmtId="169" fontId="11" fillId="0" borderId="0" xfId="1" applyNumberFormat="1" applyFont="1" applyFill="1" applyBorder="1" applyAlignment="1">
      <alignment horizontal="left" wrapText="1"/>
    </xf>
    <xf numFmtId="0" fontId="11" fillId="0" borderId="0" xfId="6" applyFont="1" applyFill="1" applyBorder="1"/>
    <xf numFmtId="170" fontId="11" fillId="0" borderId="0" xfId="3" applyNumberFormat="1" applyFont="1"/>
    <xf numFmtId="169" fontId="11" fillId="0" borderId="0" xfId="0" applyNumberFormat="1" applyFont="1"/>
    <xf numFmtId="168" fontId="11" fillId="0" borderId="0" xfId="5" applyNumberFormat="1" applyFont="1"/>
    <xf numFmtId="171" fontId="11" fillId="0" borderId="0" xfId="1" applyNumberFormat="1" applyFont="1"/>
    <xf numFmtId="172" fontId="11" fillId="0" borderId="0" xfId="1" applyNumberFormat="1" applyFont="1"/>
    <xf numFmtId="172" fontId="11" fillId="0" borderId="0" xfId="0" applyNumberFormat="1" applyFont="1"/>
    <xf numFmtId="0" fontId="2" fillId="0" borderId="0" xfId="0" applyFont="1" applyAlignment="1">
      <alignment horizontal="center" wrapText="1"/>
    </xf>
    <xf numFmtId="0" fontId="13" fillId="0" borderId="0" xfId="4" applyFont="1" applyFill="1" applyBorder="1"/>
    <xf numFmtId="169" fontId="0" fillId="0" borderId="0" xfId="1" applyNumberFormat="1" applyFont="1"/>
    <xf numFmtId="165" fontId="0" fillId="0" borderId="0" xfId="0" applyNumberFormat="1"/>
    <xf numFmtId="173" fontId="3" fillId="0" borderId="0" xfId="0" applyNumberFormat="1" applyFont="1"/>
    <xf numFmtId="0" fontId="0" fillId="0" borderId="0" xfId="0" applyFill="1"/>
    <xf numFmtId="44" fontId="3" fillId="0" borderId="0" xfId="1" applyFont="1" applyAlignment="1"/>
    <xf numFmtId="169" fontId="3" fillId="0" borderId="0" xfId="1" applyNumberFormat="1" applyFont="1" applyFill="1"/>
    <xf numFmtId="0" fontId="9" fillId="0" borderId="0" xfId="0" applyFont="1"/>
    <xf numFmtId="0" fontId="7" fillId="0" borderId="0" xfId="4" quotePrefix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5" fillId="2" borderId="1" xfId="6" applyFont="1" applyFill="1" applyBorder="1" applyAlignment="1">
      <alignment horizontal="left" wrapText="1"/>
    </xf>
    <xf numFmtId="0" fontId="15" fillId="2" borderId="1" xfId="6" applyFont="1" applyFill="1" applyBorder="1" applyAlignment="1">
      <alignment horizontal="center" wrapText="1"/>
    </xf>
    <xf numFmtId="0" fontId="1" fillId="0" borderId="1" xfId="0" applyFont="1" applyBorder="1"/>
    <xf numFmtId="169" fontId="0" fillId="0" borderId="0" xfId="0" applyNumberFormat="1"/>
    <xf numFmtId="168" fontId="0" fillId="0" borderId="0" xfId="2" applyNumberFormat="1" applyFont="1"/>
    <xf numFmtId="0" fontId="12" fillId="4" borderId="0" xfId="6" applyFont="1" applyFill="1" applyBorder="1" applyAlignment="1">
      <alignment horizontal="center" wrapText="1"/>
    </xf>
    <xf numFmtId="172" fontId="11" fillId="0" borderId="0" xfId="1" applyNumberFormat="1" applyFont="1" applyFill="1" applyBorder="1" applyAlignment="1">
      <alignment horizontal="left" wrapText="1"/>
    </xf>
    <xf numFmtId="0" fontId="12" fillId="0" borderId="0" xfId="6" applyFont="1" applyFill="1" applyBorder="1" applyAlignment="1">
      <alignment horizontal="center" wrapText="1"/>
    </xf>
    <xf numFmtId="170" fontId="11" fillId="0" borderId="0" xfId="3" applyNumberFormat="1" applyFont="1" applyFill="1"/>
    <xf numFmtId="168" fontId="3" fillId="0" borderId="0" xfId="2" applyNumberFormat="1" applyFont="1" applyFill="1"/>
    <xf numFmtId="164" fontId="0" fillId="0" borderId="0" xfId="0" applyNumberFormat="1" applyAlignment="1">
      <alignment horizontal="center"/>
    </xf>
    <xf numFmtId="0" fontId="0" fillId="0" borderId="0" xfId="0"/>
    <xf numFmtId="165" fontId="0" fillId="0" borderId="0" xfId="1" applyNumberFormat="1" applyFont="1" applyFill="1" applyAlignment="1"/>
    <xf numFmtId="164" fontId="0" fillId="0" borderId="0" xfId="0" applyNumberFormat="1" applyFill="1" applyAlignment="1">
      <alignment horizontal="center"/>
    </xf>
    <xf numFmtId="0" fontId="8" fillId="0" borderId="0" xfId="4" applyFont="1" applyFill="1" applyAlignment="1">
      <alignment vertical="center" wrapText="1"/>
    </xf>
    <xf numFmtId="165" fontId="7" fillId="0" borderId="0" xfId="1" applyNumberFormat="1" applyFont="1" applyFill="1" applyBorder="1" applyAlignment="1">
      <alignment horizontal="center"/>
    </xf>
    <xf numFmtId="168" fontId="11" fillId="0" borderId="0" xfId="5" applyNumberFormat="1" applyFont="1" applyFill="1"/>
    <xf numFmtId="168" fontId="11" fillId="0" borderId="0" xfId="2" applyNumberFormat="1" applyFont="1" applyFill="1"/>
    <xf numFmtId="0" fontId="7" fillId="0" borderId="0" xfId="4" applyFont="1" applyFill="1" applyBorder="1" applyAlignment="1">
      <alignment wrapText="1"/>
    </xf>
    <xf numFmtId="0" fontId="9" fillId="0" borderId="0" xfId="0" applyFont="1" applyFill="1"/>
    <xf numFmtId="0" fontId="0" fillId="0" borderId="0" xfId="0" applyFont="1"/>
    <xf numFmtId="176" fontId="3" fillId="0" borderId="0" xfId="2" applyNumberFormat="1" applyFont="1" applyAlignment="1"/>
    <xf numFmtId="44" fontId="7" fillId="0" borderId="0" xfId="1" applyNumberFormat="1" applyFont="1" applyFill="1" applyBorder="1"/>
    <xf numFmtId="168" fontId="11" fillId="0" borderId="0" xfId="5" applyNumberFormat="1" applyFont="1" applyAlignment="1">
      <alignment horizontal="right"/>
    </xf>
    <xf numFmtId="169" fontId="9" fillId="0" borderId="0" xfId="0" applyNumberFormat="1" applyFont="1"/>
    <xf numFmtId="169" fontId="5" fillId="0" borderId="0" xfId="1" applyNumberFormat="1" applyFont="1" applyFill="1" applyBorder="1"/>
    <xf numFmtId="0" fontId="0" fillId="0" borderId="0" xfId="0" applyFill="1" applyAlignment="1">
      <alignment horizontal="left" indent="1"/>
    </xf>
    <xf numFmtId="0" fontId="9" fillId="0" borderId="0" xfId="0" applyFont="1" applyFill="1" applyAlignment="1">
      <alignment horizontal="left" indent="1"/>
    </xf>
    <xf numFmtId="0" fontId="12" fillId="4" borderId="5" xfId="6" applyFont="1" applyFill="1" applyBorder="1" applyAlignment="1">
      <alignment horizontal="center" wrapText="1"/>
    </xf>
    <xf numFmtId="43" fontId="11" fillId="0" borderId="0" xfId="0" applyNumberFormat="1" applyFont="1"/>
    <xf numFmtId="43" fontId="11" fillId="0" borderId="0" xfId="0" applyNumberFormat="1" applyFont="1" applyFill="1"/>
    <xf numFmtId="0" fontId="21" fillId="0" borderId="0" xfId="4" applyFont="1" applyFill="1" applyBorder="1"/>
    <xf numFmtId="0" fontId="4" fillId="0" borderId="0" xfId="0" applyFont="1" applyFill="1" applyAlignment="1">
      <alignment horizontal="right" indent="1"/>
    </xf>
    <xf numFmtId="168" fontId="21" fillId="0" borderId="0" xfId="5" applyNumberFormat="1" applyFont="1" applyFill="1" applyBorder="1"/>
    <xf numFmtId="49" fontId="21" fillId="0" borderId="0" xfId="4" applyNumberFormat="1" applyFont="1" applyFill="1" applyBorder="1" applyAlignment="1">
      <alignment horizontal="right"/>
    </xf>
    <xf numFmtId="0" fontId="12" fillId="0" borderId="0" xfId="6" applyFont="1" applyAlignment="1">
      <alignment horizontal="left" wrapText="1"/>
    </xf>
    <xf numFmtId="0" fontId="12" fillId="0" borderId="0" xfId="6" applyFont="1" applyAlignment="1">
      <alignment horizontal="center" wrapText="1"/>
    </xf>
    <xf numFmtId="0" fontId="12" fillId="4" borderId="0" xfId="6" applyFont="1" applyFill="1" applyAlignment="1">
      <alignment horizontal="center" wrapText="1"/>
    </xf>
    <xf numFmtId="0" fontId="11" fillId="0" borderId="0" xfId="6" applyFont="1"/>
    <xf numFmtId="174" fontId="11" fillId="0" borderId="0" xfId="3" applyNumberFormat="1" applyFont="1" applyAlignment="1">
      <alignment horizontal="center"/>
    </xf>
    <xf numFmtId="172" fontId="11" fillId="0" borderId="0" xfId="1" applyNumberFormat="1" applyFont="1" applyAlignment="1">
      <alignment horizontal="left" wrapText="1"/>
    </xf>
    <xf numFmtId="172" fontId="11" fillId="5" borderId="0" xfId="1" applyNumberFormat="1" applyFont="1" applyFill="1" applyAlignment="1">
      <alignment horizontal="left" wrapText="1"/>
    </xf>
    <xf numFmtId="0" fontId="18" fillId="0" borderId="0" xfId="6" applyFont="1"/>
    <xf numFmtId="178" fontId="9" fillId="0" borderId="0" xfId="0" applyNumberFormat="1" applyFont="1"/>
    <xf numFmtId="0" fontId="12" fillId="0" borderId="0" xfId="0" applyFont="1"/>
    <xf numFmtId="0" fontId="12" fillId="0" borderId="6" xfId="6" applyFont="1" applyBorder="1" applyAlignment="1">
      <alignment horizontal="center" wrapText="1"/>
    </xf>
    <xf numFmtId="168" fontId="11" fillId="0" borderId="0" xfId="2" applyNumberFormat="1" applyFont="1"/>
    <xf numFmtId="175" fontId="1" fillId="0" borderId="1" xfId="2" applyNumberFormat="1" applyBorder="1"/>
    <xf numFmtId="0" fontId="12" fillId="0" borderId="0" xfId="6" applyFont="1" applyBorder="1" applyAlignment="1">
      <alignment horizontal="center" wrapText="1"/>
    </xf>
    <xf numFmtId="0" fontId="12" fillId="6" borderId="0" xfId="6" applyFont="1" applyFill="1" applyBorder="1" applyAlignment="1">
      <alignment horizontal="center" wrapText="1"/>
    </xf>
    <xf numFmtId="0" fontId="11" fillId="6" borderId="0" xfId="6" applyFont="1" applyFill="1" applyBorder="1" applyAlignment="1">
      <alignment horizontal="left" wrapText="1"/>
    </xf>
    <xf numFmtId="174" fontId="11" fillId="6" borderId="0" xfId="3" applyNumberFormat="1" applyFont="1" applyFill="1" applyAlignment="1">
      <alignment horizontal="center"/>
    </xf>
    <xf numFmtId="0" fontId="0" fillId="0" borderId="0" xfId="0" applyFont="1" applyFill="1"/>
    <xf numFmtId="169" fontId="20" fillId="0" borderId="0" xfId="4" applyNumberFormat="1" applyFont="1" applyFill="1" applyBorder="1"/>
    <xf numFmtId="169" fontId="21" fillId="0" borderId="0" xfId="4" applyNumberFormat="1" applyFont="1" applyFill="1" applyBorder="1"/>
    <xf numFmtId="43" fontId="5" fillId="0" borderId="0" xfId="1" applyNumberFormat="1" applyFont="1" applyFill="1" applyBorder="1"/>
    <xf numFmtId="169" fontId="11" fillId="0" borderId="0" xfId="1" applyNumberFormat="1" applyFont="1"/>
    <xf numFmtId="179" fontId="3" fillId="0" borderId="0" xfId="2" applyNumberFormat="1" applyFont="1" applyFill="1" applyAlignment="1"/>
    <xf numFmtId="43" fontId="4" fillId="0" borderId="0" xfId="2" applyFont="1"/>
    <xf numFmtId="0" fontId="5" fillId="0" borderId="0" xfId="4"/>
    <xf numFmtId="0" fontId="6" fillId="0" borderId="0" xfId="4" applyFont="1"/>
    <xf numFmtId="43" fontId="20" fillId="0" borderId="0" xfId="2" applyFont="1" applyFill="1" applyBorder="1"/>
    <xf numFmtId="0" fontId="8" fillId="0" borderId="0" xfId="4" applyFont="1" applyAlignment="1">
      <alignment vertical="center" wrapText="1"/>
    </xf>
    <xf numFmtId="0" fontId="8" fillId="0" borderId="0" xfId="4" applyFont="1"/>
    <xf numFmtId="0" fontId="8" fillId="0" borderId="0" xfId="4" applyFont="1" applyAlignment="1">
      <alignment wrapText="1"/>
    </xf>
    <xf numFmtId="0" fontId="4" fillId="0" borderId="0" xfId="0" applyFont="1" applyAlignment="1">
      <alignment horizontal="right"/>
    </xf>
    <xf numFmtId="43" fontId="4" fillId="0" borderId="0" xfId="0" applyNumberFormat="1" applyFont="1"/>
    <xf numFmtId="44" fontId="3" fillId="0" borderId="0" xfId="1" applyFont="1" applyFill="1" applyAlignment="1"/>
    <xf numFmtId="44" fontId="0" fillId="0" borderId="0" xfId="0" applyNumberFormat="1"/>
    <xf numFmtId="0" fontId="12" fillId="0" borderId="0" xfId="6" applyFont="1" applyAlignment="1">
      <alignment horizontal="right"/>
    </xf>
    <xf numFmtId="43" fontId="3" fillId="0" borderId="0" xfId="2" applyFont="1" applyAlignment="1"/>
    <xf numFmtId="9" fontId="3" fillId="0" borderId="0" xfId="3" applyFont="1" applyAlignment="1"/>
    <xf numFmtId="0" fontId="12" fillId="3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9" fontId="11" fillId="7" borderId="0" xfId="1" applyNumberFormat="1" applyFont="1" applyFill="1"/>
    <xf numFmtId="168" fontId="11" fillId="7" borderId="5" xfId="5" applyNumberFormat="1" applyFont="1" applyFill="1" applyBorder="1"/>
    <xf numFmtId="168" fontId="11" fillId="7" borderId="0" xfId="5" applyNumberFormat="1" applyFont="1" applyFill="1" applyBorder="1"/>
    <xf numFmtId="168" fontId="11" fillId="7" borderId="6" xfId="5" applyNumberFormat="1" applyFont="1" applyFill="1" applyBorder="1"/>
    <xf numFmtId="168" fontId="11" fillId="7" borderId="7" xfId="5" applyNumberFormat="1" applyFont="1" applyFill="1" applyBorder="1"/>
    <xf numFmtId="168" fontId="11" fillId="7" borderId="8" xfId="5" applyNumberFormat="1" applyFont="1" applyFill="1" applyBorder="1"/>
    <xf numFmtId="0" fontId="11" fillId="7" borderId="9" xfId="0" applyFont="1" applyFill="1" applyBorder="1"/>
    <xf numFmtId="168" fontId="11" fillId="7" borderId="0" xfId="5" applyNumberFormat="1" applyFont="1" applyFill="1"/>
    <xf numFmtId="169" fontId="11" fillId="7" borderId="0" xfId="1" applyNumberFormat="1" applyFont="1" applyFill="1" applyBorder="1" applyAlignment="1">
      <alignment horizontal="left" wrapText="1"/>
    </xf>
    <xf numFmtId="169" fontId="11" fillId="7" borderId="0" xfId="0" applyNumberFormat="1" applyFont="1" applyFill="1"/>
    <xf numFmtId="177" fontId="20" fillId="0" borderId="0" xfId="13" applyFont="1" applyFill="1" applyAlignment="1">
      <alignment horizontal="left" vertical="top"/>
    </xf>
    <xf numFmtId="0" fontId="17" fillId="0" borderId="0" xfId="0" applyFont="1" applyFill="1" applyAlignment="1">
      <alignment horizontal="left"/>
    </xf>
    <xf numFmtId="177" fontId="20" fillId="0" borderId="0" xfId="13" applyFont="1" applyFill="1" applyAlignment="1">
      <alignment vertical="top"/>
    </xf>
    <xf numFmtId="0" fontId="17" fillId="0" borderId="0" xfId="0" applyFont="1" applyFill="1" applyAlignment="1"/>
    <xf numFmtId="169" fontId="7" fillId="7" borderId="0" xfId="4" applyNumberFormat="1" applyFont="1" applyFill="1" applyBorder="1"/>
    <xf numFmtId="169" fontId="7" fillId="7" borderId="0" xfId="1" applyNumberFormat="1" applyFont="1" applyFill="1" applyBorder="1"/>
    <xf numFmtId="165" fontId="7" fillId="7" borderId="0" xfId="1" applyNumberFormat="1" applyFont="1" applyFill="1" applyBorder="1" applyAlignment="1">
      <alignment horizontal="center"/>
    </xf>
    <xf numFmtId="169" fontId="5" fillId="7" borderId="0" xfId="1" applyNumberFormat="1" applyFont="1" applyFill="1" applyBorder="1"/>
    <xf numFmtId="177" fontId="20" fillId="0" borderId="0" xfId="13" applyFont="1" applyFill="1" applyBorder="1" applyAlignment="1">
      <alignment vertical="top"/>
    </xf>
    <xf numFmtId="169" fontId="3" fillId="7" borderId="0" xfId="1" applyNumberFormat="1" applyFont="1" applyFill="1"/>
    <xf numFmtId="169" fontId="0" fillId="7" borderId="0" xfId="1" applyNumberFormat="1" applyFont="1" applyFill="1"/>
  </cellXfs>
  <cellStyles count="14">
    <cellStyle name="Comma" xfId="2" builtinId="3"/>
    <cellStyle name="Comma 10" xfId="5" xr:uid="{00000000-0005-0000-0000-000001000000}"/>
    <cellStyle name="Comma 2 4" xfId="8" xr:uid="{00000000-0005-0000-0000-000002000000}"/>
    <cellStyle name="Comma 2 4 2" xfId="9" xr:uid="{00000000-0005-0000-0000-000003000000}"/>
    <cellStyle name="Currency" xfId="1" builtinId="4"/>
    <cellStyle name="Currency 2 3" xfId="11" xr:uid="{00000000-0005-0000-0000-000005000000}"/>
    <cellStyle name="Normal" xfId="0" builtinId="0"/>
    <cellStyle name="Normal - Style1 24" xfId="7" xr:uid="{00000000-0005-0000-0000-000004000000}"/>
    <cellStyle name="Normal 10" xfId="4" xr:uid="{00000000-0005-0000-0000-000005000000}"/>
    <cellStyle name="Normal 3" xfId="6" xr:uid="{00000000-0005-0000-0000-000006000000}"/>
    <cellStyle name="Normal 3 4" xfId="12" xr:uid="{00000000-0005-0000-0000-000008000000}"/>
    <cellStyle name="Normal 5" xfId="10" xr:uid="{00000000-0005-0000-0000-000009000000}"/>
    <cellStyle name="Normal_RD-WP(Combined 1-01-01 filing)" xfId="13" xr:uid="{9859C5C9-B6DE-429B-8C57-4287CD340931}"/>
    <cellStyle name="Percent" xfId="3" builtinId="5"/>
  </cellStyles>
  <dxfs count="1">
    <dxf>
      <fill>
        <patternFill>
          <bgColor rgb="FFFDD5D5"/>
        </patternFill>
      </fill>
    </dxf>
  </dxfs>
  <tableStyles count="0" defaultTableStyle="TableStyleMedium2" defaultPivotStyle="PivotStyleLight16"/>
  <colors>
    <mruColors>
      <color rgb="FFFFCCCC"/>
      <color rgb="FFCCFF99"/>
      <color rgb="FFCCCCFF"/>
      <color rgb="FFFF5050"/>
      <color rgb="FFFF33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Commodity/ERRA%20related%20filings/2021%20ERRA%20Forecast%20Filing/November/Inputs/Resource%20Planning/2021%20ERRA%20Workpaper_Nov%20Update%2011.3.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Documents%20and%20Settings\JSTRAMAN\Local%20Settings\Temporary%20Internet%20Files\OLK9E\PM13b%20Avoidable-NonAvoidable%20Costs%20200807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FUELS\DATA\JWT\DWR%20Rev.%20Req\2008%2015%20Feb.%20Supplemental\Detailed%20RR%20PROOF%20to%20IOUs%20April%209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Work\Costs\2007%20SONGS%20Capital%20Budg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\AppData\Local\Microsoft\Windows\INetCache\Content.Outlook\L9VJ9R01\DOCUME~1\agautam\LOCALS~1\Temp\XPgrpwise\CEC09%20demand-price%20forms-final-12-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Users\bmontoya\AppData\Local\Microsoft\Windows\Temporary%20Internet%20Files\Content.Outlook\5RTZHXI4\CEC-200-2012-006-S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2000_07_Cabrillo%201\Final%20Adjusted\ENCI072000AF-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b2a\corpdata$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_Total Cost"/>
      <sheetName val="Cash Flow_Fuel Cost"/>
      <sheetName val="Cash Flow_Conv Cost"/>
      <sheetName val="Cash Flow_CAISO Load Revenue"/>
      <sheetName val="PCIA Inputs"/>
      <sheetName val="Workpaper_IOU TPS"/>
      <sheetName val="IOU Total Portfolio Summary"/>
      <sheetName val="Indifference Amount Calc"/>
      <sheetName val="PCIA Pivot"/>
      <sheetName val="PCIA Table"/>
      <sheetName val="Instructions"/>
      <sheetName val="PCIA (input_output)"/>
      <sheetName val="NQC"/>
      <sheetName val="2021 MPB - Solar Adjustment"/>
      <sheetName val="Bio FIT - Solar FIT"/>
      <sheetName val="2021"/>
      <sheetName val="MPB Green"/>
      <sheetName val="MPB Brown Rev"/>
      <sheetName val="Tables"/>
      <sheetName val="Khoang's Testimony Data"/>
      <sheetName val="Attachments"/>
      <sheetName val="Assumptions"/>
      <sheetName val="Hourly"/>
      <sheetName val="Total GHG Cost"/>
      <sheetName val="Fuel Cost"/>
      <sheetName val="Fuel Burn Pivot"/>
      <sheetName val="Revenue Pivot"/>
      <sheetName val="Revenue"/>
      <sheetName val="Generation Fuel Pivots"/>
      <sheetName val="Variable Cost Pivot"/>
      <sheetName val="Total Cost Pivot"/>
      <sheetName val="Gen Pivot"/>
      <sheetName val="Hourly Gen"/>
      <sheetName val="Costs"/>
      <sheetName val="Fuel Burn"/>
      <sheetName val="Catego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D3">
            <v>44.43</v>
          </cell>
        </row>
      </sheetData>
      <sheetData sheetId="5">
        <row r="17">
          <cell r="D17">
            <v>21085.682254395368</v>
          </cell>
        </row>
      </sheetData>
      <sheetData sheetId="6">
        <row r="8">
          <cell r="C8">
            <v>21085.682254395368</v>
          </cell>
        </row>
      </sheetData>
      <sheetData sheetId="7">
        <row r="14">
          <cell r="F14">
            <v>228.15244824969605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3">
          <cell r="B53">
            <v>29415921.675514415</v>
          </cell>
        </row>
      </sheetData>
      <sheetData sheetId="16" refreshError="1"/>
      <sheetData sheetId="17" refreshError="1"/>
      <sheetData sheetId="18" refreshError="1"/>
      <sheetData sheetId="19">
        <row r="24">
          <cell r="F24">
            <v>14651904.000019034</v>
          </cell>
        </row>
      </sheetData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eYear_Monthly-AvoidableCosts"/>
      <sheetName val="OneYear_MonthlyNonAvoidCosts"/>
      <sheetName val="Summary"/>
      <sheetName val="Annual-AvoidCosts"/>
      <sheetName val="Annual-NonAvoidCosts"/>
      <sheetName val="AvoidDat"/>
      <sheetName val="NonAvoidDa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rig_PM9a_MonthlyNonAvoidCosts"/>
      <sheetName val="Mod_PM9a_MonthlyNonAvoidCosts"/>
      <sheetName val="Table A-1"/>
      <sheetName val="Divider Tab"/>
      <sheetName val="Npt"/>
      <sheetName val="RptUSBA"/>
      <sheetName val="2008 RR Allocation"/>
      <sheetName val="2008RptRR"/>
      <sheetName val="2007RptRR"/>
      <sheetName val="2006RptRR"/>
      <sheetName val="2005RptRR"/>
      <sheetName val="2004RptRR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PG&amp;E</v>
          </cell>
          <cell r="E9">
            <v>0.42199999999999999</v>
          </cell>
        </row>
        <row r="10">
          <cell r="D10" t="str">
            <v>SCE</v>
          </cell>
          <cell r="E10">
            <v>0.47499999999999998</v>
          </cell>
        </row>
        <row r="11">
          <cell r="D11" t="str">
            <v>SDG&amp;E</v>
          </cell>
          <cell r="E11">
            <v>0.10299999999999999</v>
          </cell>
        </row>
        <row r="14">
          <cell r="E14">
            <v>39417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Recap"/>
      <sheetName val="BPS2007_Functional Capital"/>
      <sheetName val="Functional Capital"/>
      <sheetName val="BPS 0004.0"/>
      <sheetName val="BPS 0005.0"/>
      <sheetName val="BPS 06024.0"/>
      <sheetName val="2007 Monthly"/>
      <sheetName val="2007-2011 YR"/>
      <sheetName val="AFUDC"/>
      <sheetName val="AFUDC 2597072"/>
      <sheetName val="AFUDC 2597073"/>
      <sheetName val="AFUDC 2597082"/>
      <sheetName val="AFUDC 259708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4">
          <cell r="D4">
            <v>3.3000000000000002E-2</v>
          </cell>
        </row>
        <row r="5">
          <cell r="D5">
            <v>1.0999999999999999E-2</v>
          </cell>
        </row>
      </sheetData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7d"/>
      <sheetName val="Form 2.1"/>
      <sheetName val="Form 2.2"/>
      <sheetName val="Form 2.3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  <sheetName val="ENCI072000AF-0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  <sheetName val="Hyperion"/>
      <sheetName val="Inversiones_Activo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4"/>
  <sheetViews>
    <sheetView tabSelected="1" zoomScaleNormal="100" workbookViewId="0">
      <selection activeCell="C19" sqref="C19"/>
    </sheetView>
  </sheetViews>
  <sheetFormatPr defaultRowHeight="14.4" x14ac:dyDescent="0.3"/>
  <cols>
    <col min="1" max="1" width="7.21875" bestFit="1" customWidth="1"/>
    <col min="2" max="2" width="50.44140625" customWidth="1"/>
    <col min="3" max="3" width="43.5546875" bestFit="1" customWidth="1"/>
    <col min="4" max="4" width="11" bestFit="1" customWidth="1"/>
  </cols>
  <sheetData>
    <row r="2" spans="1:5" x14ac:dyDescent="0.3">
      <c r="A2" s="1" t="s">
        <v>3</v>
      </c>
      <c r="B2" s="2" t="s">
        <v>0</v>
      </c>
      <c r="C2" s="2" t="s">
        <v>1</v>
      </c>
      <c r="D2" s="3" t="s">
        <v>2</v>
      </c>
    </row>
    <row r="3" spans="1:5" x14ac:dyDescent="0.3">
      <c r="A3" s="4">
        <v>1</v>
      </c>
      <c r="B3" s="70" t="s">
        <v>4</v>
      </c>
      <c r="C3" s="78" t="s">
        <v>137</v>
      </c>
      <c r="D3" s="54">
        <v>44.43</v>
      </c>
      <c r="E3" s="127"/>
    </row>
    <row r="4" spans="1:5" x14ac:dyDescent="0.3">
      <c r="A4" s="4">
        <f>IF(A3=0, A2+1, A3+1)</f>
        <v>2</v>
      </c>
      <c r="B4" s="70" t="s">
        <v>5</v>
      </c>
      <c r="C4" s="78" t="s">
        <v>137</v>
      </c>
      <c r="D4" s="54">
        <v>34.340000000000003</v>
      </c>
      <c r="E4" s="127"/>
    </row>
    <row r="5" spans="1:5" x14ac:dyDescent="0.3">
      <c r="A5" s="4">
        <f t="shared" ref="A5:A19" si="0">IF(A4=0, A3+1, A4+1)</f>
        <v>3</v>
      </c>
      <c r="B5" s="70" t="s">
        <v>6</v>
      </c>
      <c r="C5" s="56" t="s">
        <v>141</v>
      </c>
      <c r="D5" s="130">
        <v>0.56000000000000005</v>
      </c>
      <c r="E5" s="127"/>
    </row>
    <row r="6" spans="1:5" x14ac:dyDescent="0.3">
      <c r="A6" s="4">
        <f t="shared" si="0"/>
        <v>4</v>
      </c>
      <c r="B6" s="70" t="s">
        <v>7</v>
      </c>
      <c r="C6" s="56" t="s">
        <v>142</v>
      </c>
      <c r="D6" s="130">
        <v>0.44</v>
      </c>
      <c r="E6" s="127"/>
    </row>
    <row r="7" spans="1:5" s="70" customFormat="1" x14ac:dyDescent="0.3">
      <c r="A7" s="69">
        <f t="shared" si="0"/>
        <v>5</v>
      </c>
      <c r="B7" s="70" t="s">
        <v>150</v>
      </c>
      <c r="C7" s="56"/>
      <c r="D7" s="129">
        <v>1.1180643266695105</v>
      </c>
      <c r="E7" s="127"/>
    </row>
    <row r="8" spans="1:5" x14ac:dyDescent="0.3">
      <c r="A8" s="69">
        <f t="shared" si="0"/>
        <v>6</v>
      </c>
      <c r="B8" s="53" t="s">
        <v>8</v>
      </c>
      <c r="C8" s="111" t="s">
        <v>9</v>
      </c>
      <c r="D8" s="54">
        <v>44.711839649244396</v>
      </c>
      <c r="E8" s="127"/>
    </row>
    <row r="9" spans="1:5" x14ac:dyDescent="0.3">
      <c r="A9" s="4"/>
      <c r="B9" s="53"/>
      <c r="C9" s="53"/>
      <c r="D9" s="5"/>
      <c r="E9" s="127"/>
    </row>
    <row r="10" spans="1:5" ht="15" customHeight="1" x14ac:dyDescent="0.3">
      <c r="A10" s="69">
        <f t="shared" si="0"/>
        <v>7</v>
      </c>
      <c r="B10" s="53" t="s">
        <v>113</v>
      </c>
      <c r="C10" s="111" t="s">
        <v>115</v>
      </c>
      <c r="D10" s="54">
        <v>14.49</v>
      </c>
      <c r="E10" s="127"/>
    </row>
    <row r="11" spans="1:5" ht="15" customHeight="1" x14ac:dyDescent="0.3">
      <c r="A11" s="69">
        <f t="shared" si="0"/>
        <v>8</v>
      </c>
      <c r="B11" s="53" t="s">
        <v>101</v>
      </c>
      <c r="C11" s="78" t="s">
        <v>100</v>
      </c>
      <c r="D11" s="71">
        <f>D8+D10</f>
        <v>59.201839649244398</v>
      </c>
      <c r="E11" s="127"/>
    </row>
    <row r="12" spans="1:5" x14ac:dyDescent="0.3">
      <c r="A12" s="4"/>
      <c r="B12" s="53"/>
      <c r="C12" s="53"/>
      <c r="D12" s="7"/>
      <c r="E12" s="127"/>
    </row>
    <row r="13" spans="1:5" x14ac:dyDescent="0.3">
      <c r="A13" s="4">
        <f>IF(A12=0, A11+1, A12+1)</f>
        <v>9</v>
      </c>
      <c r="B13" s="53" t="s">
        <v>119</v>
      </c>
      <c r="C13" s="111" t="s">
        <v>143</v>
      </c>
      <c r="D13" s="126">
        <f>6.1*12</f>
        <v>73.199999999999989</v>
      </c>
      <c r="E13" s="127"/>
    </row>
    <row r="14" spans="1:5" s="53" customFormat="1" x14ac:dyDescent="0.3">
      <c r="A14" s="69">
        <v>9</v>
      </c>
      <c r="B14" s="53" t="s">
        <v>109</v>
      </c>
      <c r="C14" s="111" t="s">
        <v>143</v>
      </c>
      <c r="D14" s="126">
        <f>5.59*12</f>
        <v>67.08</v>
      </c>
      <c r="E14" s="127"/>
    </row>
    <row r="15" spans="1:5" s="53" customFormat="1" x14ac:dyDescent="0.3">
      <c r="A15" s="69">
        <v>10</v>
      </c>
      <c r="B15" s="53" t="s">
        <v>102</v>
      </c>
      <c r="C15" s="111" t="s">
        <v>143</v>
      </c>
      <c r="D15" s="126">
        <f>5.69*12</f>
        <v>68.28</v>
      </c>
      <c r="E15" s="127"/>
    </row>
    <row r="16" spans="1:5" x14ac:dyDescent="0.3">
      <c r="A16" s="4"/>
      <c r="B16" s="53"/>
      <c r="C16" s="111"/>
      <c r="D16" s="6"/>
      <c r="E16" s="127"/>
    </row>
    <row r="17" spans="1:6" x14ac:dyDescent="0.3">
      <c r="A17" s="4">
        <f>A15+1</f>
        <v>11</v>
      </c>
      <c r="B17" s="70" t="s">
        <v>10</v>
      </c>
      <c r="C17" s="79" t="s">
        <v>114</v>
      </c>
      <c r="D17" s="80">
        <v>1.0429999999999999</v>
      </c>
      <c r="E17" s="127"/>
    </row>
    <row r="18" spans="1:6" x14ac:dyDescent="0.3">
      <c r="A18" s="4"/>
      <c r="B18" s="70"/>
      <c r="C18" s="79"/>
      <c r="D18" s="8"/>
      <c r="E18" s="127"/>
    </row>
    <row r="19" spans="1:6" x14ac:dyDescent="0.3">
      <c r="A19" s="4">
        <f t="shared" si="0"/>
        <v>12</v>
      </c>
      <c r="B19" s="70" t="s">
        <v>61</v>
      </c>
      <c r="C19" s="56"/>
      <c r="D19" s="116">
        <v>1.0121325999999999</v>
      </c>
      <c r="E19" s="127"/>
    </row>
    <row r="20" spans="1:6" x14ac:dyDescent="0.3">
      <c r="A20" s="4"/>
      <c r="D20" s="5"/>
    </row>
    <row r="21" spans="1:6" x14ac:dyDescent="0.3">
      <c r="B21" s="9"/>
      <c r="D21" s="52"/>
      <c r="F21" s="51"/>
    </row>
    <row r="22" spans="1:6" s="70" customFormat="1" x14ac:dyDescent="0.3">
      <c r="B22" s="124"/>
      <c r="C22" s="125"/>
      <c r="D22" s="52"/>
      <c r="F22" s="51"/>
    </row>
    <row r="23" spans="1:6" s="70" customFormat="1" x14ac:dyDescent="0.3">
      <c r="B23" s="124"/>
      <c r="C23" s="125"/>
      <c r="D23" s="52"/>
      <c r="F23" s="51"/>
    </row>
    <row r="24" spans="1:6" x14ac:dyDescent="0.3">
      <c r="B24" s="9"/>
    </row>
    <row r="25" spans="1:6" x14ac:dyDescent="0.3">
      <c r="B25" s="124"/>
      <c r="C25" s="125"/>
    </row>
    <row r="26" spans="1:6" x14ac:dyDescent="0.3">
      <c r="B26" s="124"/>
      <c r="C26" s="125"/>
    </row>
    <row r="27" spans="1:6" x14ac:dyDescent="0.3">
      <c r="B27" s="124"/>
      <c r="C27" s="125"/>
    </row>
    <row r="29" spans="1:6" x14ac:dyDescent="0.3">
      <c r="B29" s="124"/>
      <c r="C29" s="125"/>
    </row>
    <row r="30" spans="1:6" x14ac:dyDescent="0.3">
      <c r="B30" s="124"/>
      <c r="C30" s="125"/>
    </row>
    <row r="31" spans="1:6" x14ac:dyDescent="0.3">
      <c r="B31" s="124"/>
      <c r="C31" s="125"/>
    </row>
    <row r="32" spans="1:6" x14ac:dyDescent="0.3">
      <c r="B32" s="124"/>
      <c r="C32" s="125"/>
    </row>
    <row r="33" spans="2:3" x14ac:dyDescent="0.3">
      <c r="B33" s="124"/>
      <c r="C33" s="125"/>
    </row>
    <row r="34" spans="2:3" x14ac:dyDescent="0.3">
      <c r="B34" s="124"/>
      <c r="C34" s="125"/>
    </row>
  </sheetData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6" sqref="O6"/>
    </sheetView>
  </sheetViews>
  <sheetFormatPr defaultRowHeight="14.4" x14ac:dyDescent="0.3"/>
  <cols>
    <col min="1" max="1" width="3.5546875" bestFit="1" customWidth="1"/>
    <col min="2" max="2" width="55.77734375" customWidth="1"/>
    <col min="3" max="3" width="11.21875" bestFit="1" customWidth="1"/>
    <col min="4" max="4" width="11.21875" customWidth="1"/>
    <col min="5" max="5" width="13.77734375" bestFit="1" customWidth="1"/>
    <col min="6" max="12" width="13.77734375" customWidth="1"/>
    <col min="13" max="16" width="12.21875" bestFit="1" customWidth="1"/>
    <col min="17" max="17" width="13.21875" bestFit="1" customWidth="1"/>
    <col min="18" max="22" width="13.77734375" bestFit="1" customWidth="1"/>
    <col min="23" max="23" width="12.21875" style="70" bestFit="1" customWidth="1"/>
    <col min="24" max="24" width="12.21875" bestFit="1" customWidth="1"/>
    <col min="25" max="25" width="11.21875" customWidth="1"/>
  </cols>
  <sheetData>
    <row r="1" spans="1:25" s="70" customFormat="1" x14ac:dyDescent="0.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</row>
    <row r="2" spans="1:25" s="70" customFormat="1" x14ac:dyDescent="0.3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4" spans="1:25" x14ac:dyDescent="0.3">
      <c r="C4" s="9"/>
      <c r="D4" s="9"/>
    </row>
    <row r="5" spans="1:25" ht="28.8" x14ac:dyDescent="0.3">
      <c r="C5" s="48" t="s">
        <v>14</v>
      </c>
      <c r="D5" s="58" t="s">
        <v>58</v>
      </c>
      <c r="E5" s="58" t="s">
        <v>53</v>
      </c>
      <c r="F5" s="48">
        <v>2002</v>
      </c>
      <c r="G5" s="48">
        <v>2003</v>
      </c>
      <c r="H5" s="48">
        <v>2004</v>
      </c>
      <c r="I5" s="48">
        <v>2005</v>
      </c>
      <c r="J5" s="48">
        <v>2006</v>
      </c>
      <c r="K5" s="48">
        <v>2007</v>
      </c>
      <c r="L5" s="48">
        <v>2008</v>
      </c>
      <c r="M5" s="2">
        <v>2009</v>
      </c>
      <c r="N5" s="2">
        <v>2010</v>
      </c>
      <c r="O5" s="2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f>+W5+1</f>
        <v>2020</v>
      </c>
      <c r="Y5" s="2">
        <v>2021</v>
      </c>
    </row>
    <row r="6" spans="1:25" x14ac:dyDescent="0.3">
      <c r="A6" s="4"/>
      <c r="B6" s="10" t="s">
        <v>50</v>
      </c>
    </row>
    <row r="7" spans="1:25" x14ac:dyDescent="0.3">
      <c r="A7" s="4">
        <v>1</v>
      </c>
      <c r="B7" t="s">
        <v>60</v>
      </c>
      <c r="C7" s="55">
        <v>21085.682254395368</v>
      </c>
      <c r="D7" s="55">
        <v>1509</v>
      </c>
      <c r="E7" s="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3">
      <c r="A8" s="69">
        <f>A7+1</f>
        <v>2</v>
      </c>
      <c r="B8" s="11" t="s">
        <v>59</v>
      </c>
      <c r="C8" s="50">
        <f>SUM(C7:C7)</f>
        <v>21085.682254395368</v>
      </c>
      <c r="D8" s="50">
        <f t="shared" ref="D8:Y8" si="0">SUM(D7:D7)+C8</f>
        <v>22594.682254395368</v>
      </c>
      <c r="E8" s="50">
        <f t="shared" si="0"/>
        <v>22594.682254395368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</row>
    <row r="9" spans="1:25" x14ac:dyDescent="0.3">
      <c r="A9" s="4"/>
      <c r="B9" s="91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</row>
    <row r="10" spans="1:25" x14ac:dyDescent="0.3">
      <c r="A10" s="4"/>
      <c r="B10" s="2" t="s">
        <v>12</v>
      </c>
      <c r="H10" s="53"/>
    </row>
    <row r="11" spans="1:25" x14ac:dyDescent="0.3">
      <c r="A11" s="4">
        <f>A8+1</f>
        <v>3</v>
      </c>
      <c r="B11" t="s">
        <v>96</v>
      </c>
      <c r="C11" s="36">
        <v>92.419267976991605</v>
      </c>
      <c r="D11" s="36">
        <v>0</v>
      </c>
      <c r="E11" s="36">
        <v>0</v>
      </c>
      <c r="F11" s="68">
        <v>0</v>
      </c>
      <c r="G11" s="68">
        <v>0</v>
      </c>
      <c r="H11" s="68">
        <v>1950.3798657718271</v>
      </c>
      <c r="I11" s="68">
        <v>399.87926174495936</v>
      </c>
      <c r="J11" s="68">
        <v>319.23201112176383</v>
      </c>
      <c r="K11" s="68">
        <v>829.93222435282939</v>
      </c>
      <c r="L11" s="68">
        <v>46.375395244487933</v>
      </c>
      <c r="M11" s="68">
        <v>111.71984659635574</v>
      </c>
      <c r="N11" s="68">
        <v>765.84832803548045</v>
      </c>
      <c r="O11" s="68">
        <v>2425.2031717025461</v>
      </c>
      <c r="P11" s="68">
        <v>957.44445249302942</v>
      </c>
      <c r="Q11" s="68">
        <v>87.636415742103722</v>
      </c>
      <c r="R11" s="68">
        <v>30.088609944391397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</row>
    <row r="12" spans="1:25" s="53" customFormat="1" x14ac:dyDescent="0.3">
      <c r="A12" s="69">
        <f>A11+1</f>
        <v>4</v>
      </c>
      <c r="B12" s="53" t="s">
        <v>75</v>
      </c>
      <c r="C12" s="68">
        <v>9.8630512183501455</v>
      </c>
      <c r="D12" s="68">
        <v>0</v>
      </c>
      <c r="E12" s="68">
        <v>0</v>
      </c>
      <c r="F12" s="68">
        <v>0</v>
      </c>
      <c r="G12" s="68">
        <v>0</v>
      </c>
      <c r="H12" s="68">
        <v>93.761274244123499</v>
      </c>
      <c r="I12" s="68">
        <v>253.83332804239862</v>
      </c>
      <c r="J12" s="68">
        <v>202.6404756453384</v>
      </c>
      <c r="K12" s="68">
        <v>0</v>
      </c>
      <c r="L12" s="68">
        <v>352.29034522337241</v>
      </c>
      <c r="M12" s="68">
        <v>413.93978779792093</v>
      </c>
      <c r="N12" s="68">
        <v>470.20505394642703</v>
      </c>
      <c r="O12" s="68">
        <v>1524.8516657950254</v>
      </c>
      <c r="P12" s="68">
        <v>607.76172970690789</v>
      </c>
      <c r="Q12" s="68">
        <v>55.629399155271017</v>
      </c>
      <c r="R12" s="68">
        <v>19.099495095161064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</row>
    <row r="13" spans="1:25" x14ac:dyDescent="0.3">
      <c r="A13" s="69">
        <f>A12+1</f>
        <v>5</v>
      </c>
      <c r="B13" s="11" t="s">
        <v>13</v>
      </c>
      <c r="C13" s="63">
        <f>SUM(C11:C12)</f>
        <v>102.28231919534176</v>
      </c>
      <c r="D13" s="63">
        <f t="shared" ref="D13:Y13" si="1">SUM(D11:D12)+C13</f>
        <v>102.28231919534176</v>
      </c>
      <c r="E13" s="63">
        <f t="shared" si="1"/>
        <v>102.28231919534176</v>
      </c>
      <c r="F13" s="63">
        <f t="shared" si="1"/>
        <v>102.28231919534176</v>
      </c>
      <c r="G13" s="63">
        <f t="shared" si="1"/>
        <v>102.28231919534176</v>
      </c>
      <c r="H13" s="63">
        <f t="shared" si="1"/>
        <v>2146.4234592112925</v>
      </c>
      <c r="I13" s="63">
        <f t="shared" si="1"/>
        <v>2800.1360489986505</v>
      </c>
      <c r="J13" s="63">
        <f t="shared" si="1"/>
        <v>3322.0085357657526</v>
      </c>
      <c r="K13" s="63">
        <f t="shared" si="1"/>
        <v>4151.9407601185821</v>
      </c>
      <c r="L13" s="63">
        <f t="shared" si="1"/>
        <v>4550.6065005864421</v>
      </c>
      <c r="M13" s="63">
        <f t="shared" si="1"/>
        <v>5076.2661349807186</v>
      </c>
      <c r="N13" s="63">
        <f t="shared" si="1"/>
        <v>6312.319516962626</v>
      </c>
      <c r="O13" s="63">
        <f t="shared" si="1"/>
        <v>10262.374354460197</v>
      </c>
      <c r="P13" s="63">
        <f t="shared" si="1"/>
        <v>11827.580536660134</v>
      </c>
      <c r="Q13" s="63">
        <f t="shared" si="1"/>
        <v>11970.846351557509</v>
      </c>
      <c r="R13" s="63">
        <f t="shared" si="1"/>
        <v>12020.034456597063</v>
      </c>
      <c r="S13" s="63">
        <f t="shared" si="1"/>
        <v>12020.034456597063</v>
      </c>
      <c r="T13" s="63">
        <f t="shared" si="1"/>
        <v>12020.034456597063</v>
      </c>
      <c r="U13" s="63">
        <f t="shared" si="1"/>
        <v>12020.034456597063</v>
      </c>
      <c r="V13" s="63">
        <f t="shared" si="1"/>
        <v>12020.034456597063</v>
      </c>
      <c r="W13" s="63">
        <f t="shared" si="1"/>
        <v>12020.034456597063</v>
      </c>
      <c r="X13" s="63">
        <f t="shared" si="1"/>
        <v>12020.034456597063</v>
      </c>
      <c r="Y13" s="63">
        <f t="shared" si="1"/>
        <v>12020.034456597063</v>
      </c>
    </row>
    <row r="14" spans="1:25" x14ac:dyDescent="0.3">
      <c r="B14" s="91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</row>
    <row r="15" spans="1:25" x14ac:dyDescent="0.3">
      <c r="A15" s="4"/>
      <c r="B15" s="2" t="s">
        <v>51</v>
      </c>
      <c r="C15" s="36"/>
      <c r="D15" s="36"/>
      <c r="E15" s="36"/>
      <c r="F15" s="36"/>
      <c r="G15" s="36"/>
      <c r="H15" s="68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5" s="53" customFormat="1" x14ac:dyDescent="0.3">
      <c r="A16" s="72">
        <f>A13+1</f>
        <v>6</v>
      </c>
      <c r="B16" s="53" t="s">
        <v>97</v>
      </c>
      <c r="C16" s="68">
        <f>SUM(C17:C19)</f>
        <v>82.2</v>
      </c>
      <c r="D16" s="68">
        <f t="shared" ref="D16:Y16" si="2">SUM(D17:D19)</f>
        <v>0</v>
      </c>
      <c r="E16" s="68">
        <f t="shared" si="2"/>
        <v>0</v>
      </c>
      <c r="F16" s="68">
        <f t="shared" si="2"/>
        <v>0</v>
      </c>
      <c r="G16" s="68">
        <f t="shared" si="2"/>
        <v>0</v>
      </c>
      <c r="H16" s="68">
        <f t="shared" si="2"/>
        <v>660.1</v>
      </c>
      <c r="I16" s="68">
        <f t="shared" si="2"/>
        <v>27.299999999999997</v>
      </c>
      <c r="J16" s="68">
        <f t="shared" si="2"/>
        <v>19.8</v>
      </c>
      <c r="K16" s="68">
        <f t="shared" si="2"/>
        <v>253.9</v>
      </c>
      <c r="L16" s="68">
        <f t="shared" si="2"/>
        <v>44</v>
      </c>
      <c r="M16" s="68">
        <f t="shared" si="2"/>
        <v>98.1</v>
      </c>
      <c r="N16" s="68">
        <f t="shared" si="2"/>
        <v>92.330000000000013</v>
      </c>
      <c r="O16" s="68">
        <f t="shared" si="2"/>
        <v>244.70499999999998</v>
      </c>
      <c r="P16" s="68">
        <f t="shared" si="2"/>
        <v>51.048433333333335</v>
      </c>
      <c r="Q16" s="68">
        <f t="shared" si="2"/>
        <v>5.1400000000000006</v>
      </c>
      <c r="R16" s="68">
        <f t="shared" si="2"/>
        <v>2.46</v>
      </c>
      <c r="S16" s="68">
        <f t="shared" si="2"/>
        <v>0</v>
      </c>
      <c r="T16" s="68">
        <f t="shared" si="2"/>
        <v>0</v>
      </c>
      <c r="U16" s="68">
        <f t="shared" si="2"/>
        <v>0</v>
      </c>
      <c r="V16" s="68">
        <f t="shared" si="2"/>
        <v>283.10000000000002</v>
      </c>
      <c r="W16" s="68">
        <f t="shared" si="2"/>
        <v>494</v>
      </c>
      <c r="X16" s="68">
        <f t="shared" si="2"/>
        <v>0</v>
      </c>
      <c r="Y16" s="68">
        <f t="shared" si="2"/>
        <v>0</v>
      </c>
    </row>
    <row r="17" spans="1:25" s="53" customFormat="1" x14ac:dyDescent="0.3">
      <c r="A17" s="72">
        <f t="shared" ref="A17:A20" si="3">A16+1</f>
        <v>7</v>
      </c>
      <c r="B17" s="86" t="s">
        <v>98</v>
      </c>
      <c r="C17" s="68">
        <v>52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21.9</v>
      </c>
      <c r="J17" s="68">
        <v>0</v>
      </c>
      <c r="K17" s="68">
        <v>-58.4</v>
      </c>
      <c r="L17" s="68">
        <v>0</v>
      </c>
      <c r="M17" s="68">
        <v>0</v>
      </c>
      <c r="N17" s="68">
        <v>1.43</v>
      </c>
      <c r="O17" s="68">
        <v>91</v>
      </c>
      <c r="P17" s="68">
        <v>18.755100000000002</v>
      </c>
      <c r="Q17" s="68">
        <v>5.1400000000000006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</row>
    <row r="18" spans="1:25" s="53" customFormat="1" x14ac:dyDescent="0.3">
      <c r="A18" s="72">
        <f t="shared" si="3"/>
        <v>8</v>
      </c>
      <c r="B18" s="86" t="s">
        <v>107</v>
      </c>
      <c r="C18" s="68">
        <v>30.2</v>
      </c>
      <c r="D18" s="68">
        <v>0</v>
      </c>
      <c r="E18" s="68">
        <v>0</v>
      </c>
      <c r="F18" s="68">
        <v>0</v>
      </c>
      <c r="G18" s="68">
        <v>0</v>
      </c>
      <c r="H18" s="68">
        <v>660.1</v>
      </c>
      <c r="I18" s="68">
        <v>5.4</v>
      </c>
      <c r="J18" s="68">
        <v>19.8</v>
      </c>
      <c r="K18" s="68">
        <v>0</v>
      </c>
      <c r="L18" s="68">
        <v>44</v>
      </c>
      <c r="M18" s="68">
        <v>98.1</v>
      </c>
      <c r="N18" s="68">
        <v>90.9</v>
      </c>
      <c r="O18" s="68">
        <v>153.70499999999998</v>
      </c>
      <c r="P18" s="68">
        <v>32.293333333333337</v>
      </c>
      <c r="Q18" s="68">
        <v>0</v>
      </c>
      <c r="R18" s="68">
        <v>2.46</v>
      </c>
      <c r="S18" s="68">
        <v>0</v>
      </c>
      <c r="T18" s="68">
        <v>0</v>
      </c>
      <c r="U18" s="68">
        <v>0</v>
      </c>
      <c r="V18" s="68">
        <v>283.10000000000002</v>
      </c>
      <c r="W18" s="68">
        <v>494</v>
      </c>
      <c r="X18" s="68">
        <v>0</v>
      </c>
      <c r="Y18" s="68">
        <v>0</v>
      </c>
    </row>
    <row r="19" spans="1:25" s="53" customFormat="1" x14ac:dyDescent="0.3">
      <c r="A19" s="72">
        <f t="shared" si="3"/>
        <v>9</v>
      </c>
      <c r="B19" s="86" t="s">
        <v>99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312.3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</row>
    <row r="20" spans="1:25" s="53" customFormat="1" x14ac:dyDescent="0.3">
      <c r="A20" s="72">
        <f t="shared" si="3"/>
        <v>10</v>
      </c>
      <c r="B20" s="11" t="s">
        <v>52</v>
      </c>
      <c r="C20" s="63">
        <f>SUM(C17:C19)</f>
        <v>82.2</v>
      </c>
      <c r="D20" s="63">
        <f t="shared" ref="D20:Y20" si="4">C20+SUM(D17:D19)</f>
        <v>82.2</v>
      </c>
      <c r="E20" s="63">
        <f t="shared" si="4"/>
        <v>82.2</v>
      </c>
      <c r="F20" s="63">
        <f t="shared" si="4"/>
        <v>82.2</v>
      </c>
      <c r="G20" s="63">
        <f t="shared" si="4"/>
        <v>82.2</v>
      </c>
      <c r="H20" s="63">
        <f t="shared" si="4"/>
        <v>742.30000000000007</v>
      </c>
      <c r="I20" s="63">
        <f t="shared" si="4"/>
        <v>769.6</v>
      </c>
      <c r="J20" s="63">
        <f t="shared" si="4"/>
        <v>789.4</v>
      </c>
      <c r="K20" s="63">
        <f t="shared" si="4"/>
        <v>1043.3</v>
      </c>
      <c r="L20" s="63">
        <f t="shared" si="4"/>
        <v>1087.3</v>
      </c>
      <c r="M20" s="63">
        <f t="shared" si="4"/>
        <v>1185.3999999999999</v>
      </c>
      <c r="N20" s="63">
        <f t="shared" si="4"/>
        <v>1277.7299999999998</v>
      </c>
      <c r="O20" s="63">
        <f t="shared" si="4"/>
        <v>1522.4349999999997</v>
      </c>
      <c r="P20" s="63">
        <f t="shared" si="4"/>
        <v>1573.4834333333331</v>
      </c>
      <c r="Q20" s="63">
        <f t="shared" si="4"/>
        <v>1578.6234333333332</v>
      </c>
      <c r="R20" s="63">
        <f t="shared" si="4"/>
        <v>1581.0834333333332</v>
      </c>
      <c r="S20" s="63">
        <f t="shared" si="4"/>
        <v>1581.0834333333332</v>
      </c>
      <c r="T20" s="63">
        <f t="shared" si="4"/>
        <v>1581.0834333333332</v>
      </c>
      <c r="U20" s="63">
        <f t="shared" si="4"/>
        <v>1581.0834333333332</v>
      </c>
      <c r="V20" s="63">
        <f t="shared" si="4"/>
        <v>1864.1834333333331</v>
      </c>
      <c r="W20" s="63">
        <f t="shared" si="4"/>
        <v>2358.1834333333331</v>
      </c>
      <c r="X20" s="63">
        <f t="shared" si="4"/>
        <v>2358.1834333333331</v>
      </c>
      <c r="Y20" s="63">
        <f t="shared" si="4"/>
        <v>2358.1834333333331</v>
      </c>
    </row>
    <row r="21" spans="1:25" s="53" customFormat="1" x14ac:dyDescent="0.3">
      <c r="A21" s="72"/>
      <c r="B21" s="91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</row>
    <row r="22" spans="1:25" s="53" customFormat="1" x14ac:dyDescent="0.3">
      <c r="A22" s="72"/>
      <c r="B22" s="85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</row>
    <row r="23" spans="1:25" x14ac:dyDescent="0.3">
      <c r="A23" s="72"/>
      <c r="B23" s="11"/>
    </row>
    <row r="25" spans="1:25" x14ac:dyDescent="0.3">
      <c r="A25" s="53"/>
      <c r="B25" s="78"/>
      <c r="Q25" s="63"/>
    </row>
    <row r="26" spans="1:25" x14ac:dyDescent="0.3">
      <c r="B26" s="56"/>
      <c r="Q26" s="63"/>
    </row>
    <row r="27" spans="1:25" x14ac:dyDescent="0.3">
      <c r="Q27" s="63"/>
    </row>
    <row r="28" spans="1:25" x14ac:dyDescent="0.3">
      <c r="Q28" s="6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E34A-F9F6-4A23-A132-FF3EBD5D4BE9}">
  <dimension ref="A1:AS52"/>
  <sheetViews>
    <sheetView zoomScaleNormal="100" workbookViewId="0">
      <pane xSplit="5" ySplit="3" topLeftCell="F4" activePane="bottomRight" state="frozen"/>
      <selection activeCell="D37" sqref="D37"/>
      <selection pane="topRight" activeCell="D37" sqref="D37"/>
      <selection pane="bottomLeft" activeCell="D37" sqref="D37"/>
      <selection pane="bottomRight" sqref="A1:X2"/>
    </sheetView>
  </sheetViews>
  <sheetFormatPr defaultColWidth="9.21875" defaultRowHeight="13.2" x14ac:dyDescent="0.25"/>
  <cols>
    <col min="1" max="1" width="5.5546875" style="12" customWidth="1"/>
    <col min="2" max="2" width="19.21875" style="12" customWidth="1"/>
    <col min="3" max="3" width="48.77734375" style="12" customWidth="1"/>
    <col min="4" max="4" width="25" style="16" customWidth="1"/>
    <col min="5" max="5" width="9.77734375" style="12" bestFit="1" customWidth="1"/>
    <col min="6" max="6" width="12.77734375" style="12" bestFit="1" customWidth="1"/>
    <col min="7" max="10" width="12.77734375" style="12" customWidth="1"/>
    <col min="11" max="11" width="14.21875" style="12" customWidth="1"/>
    <col min="12" max="13" width="12.77734375" style="12" customWidth="1"/>
    <col min="14" max="14" width="14" style="12" bestFit="1" customWidth="1"/>
    <col min="15" max="15" width="14" style="12" customWidth="1"/>
    <col min="16" max="17" width="13.77734375" style="12" bestFit="1" customWidth="1"/>
    <col min="18" max="20" width="13.77734375" style="12" customWidth="1"/>
    <col min="21" max="21" width="14" style="12" bestFit="1" customWidth="1"/>
    <col min="22" max="25" width="12.44140625" style="12" bestFit="1" customWidth="1"/>
    <col min="26" max="27" width="13.77734375" style="12" bestFit="1" customWidth="1"/>
    <col min="28" max="28" width="13.77734375" style="12" customWidth="1"/>
    <col min="29" max="29" width="11.44140625" style="12" customWidth="1"/>
    <col min="30" max="30" width="13.88671875" style="12" customWidth="1"/>
    <col min="31" max="31" width="11.44140625" style="12" customWidth="1"/>
    <col min="32" max="32" width="10.77734375" style="12" customWidth="1"/>
    <col min="33" max="16384" width="9.21875" style="12"/>
  </cols>
  <sheetData>
    <row r="1" spans="1:31" s="70" customFormat="1" ht="14.4" x14ac:dyDescent="0.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</row>
    <row r="2" spans="1:31" s="70" customFormat="1" ht="14.4" x14ac:dyDescent="0.3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31" ht="27" x14ac:dyDescent="0.3">
      <c r="A3" s="77" t="s">
        <v>3</v>
      </c>
      <c r="B3" s="13"/>
      <c r="C3" s="13" t="s">
        <v>0</v>
      </c>
      <c r="D3" s="14" t="s">
        <v>15</v>
      </c>
      <c r="E3" s="12" t="s">
        <v>16</v>
      </c>
      <c r="F3" s="15" t="s">
        <v>17</v>
      </c>
      <c r="G3" s="57" t="s">
        <v>58</v>
      </c>
      <c r="H3" s="58" t="s">
        <v>53</v>
      </c>
      <c r="I3" s="48">
        <v>2002</v>
      </c>
      <c r="J3" s="48">
        <v>2003</v>
      </c>
      <c r="K3" s="48">
        <v>2004</v>
      </c>
      <c r="L3" s="48">
        <v>2005</v>
      </c>
      <c r="M3" s="48">
        <v>2006</v>
      </c>
      <c r="N3" s="48">
        <v>2007</v>
      </c>
      <c r="O3" s="48">
        <v>2008</v>
      </c>
      <c r="P3" s="15">
        <v>2009</v>
      </c>
      <c r="Q3" s="15">
        <v>2010</v>
      </c>
      <c r="R3" s="15">
        <v>2011</v>
      </c>
      <c r="S3" s="15">
        <v>2012</v>
      </c>
      <c r="T3" s="15">
        <v>2013</v>
      </c>
      <c r="U3" s="15">
        <v>2014</v>
      </c>
      <c r="V3" s="15">
        <v>2015</v>
      </c>
      <c r="W3" s="15">
        <v>2016</v>
      </c>
      <c r="X3" s="15">
        <v>2017</v>
      </c>
      <c r="Y3" s="15">
        <v>2018</v>
      </c>
      <c r="Z3" s="15">
        <v>2019</v>
      </c>
      <c r="AA3" s="15">
        <f>+Z3+1</f>
        <v>2020</v>
      </c>
      <c r="AB3" s="15">
        <v>2021</v>
      </c>
      <c r="AC3" s="15"/>
      <c r="AD3" s="15"/>
    </row>
    <row r="4" spans="1:31" ht="6" customHeight="1" x14ac:dyDescent="0.25"/>
    <row r="5" spans="1:31" x14ac:dyDescent="0.25">
      <c r="A5" s="17"/>
      <c r="B5" s="18" t="s">
        <v>11</v>
      </c>
      <c r="C5" s="13"/>
      <c r="D5" s="14"/>
      <c r="E5" s="13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x14ac:dyDescent="0.25">
      <c r="A6" s="17"/>
      <c r="B6" s="18"/>
      <c r="C6" s="13"/>
      <c r="D6" s="14"/>
      <c r="E6" s="13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x14ac:dyDescent="0.25">
      <c r="A7" s="17">
        <v>1</v>
      </c>
      <c r="B7" s="17"/>
      <c r="C7" s="12" t="s">
        <v>74</v>
      </c>
      <c r="D7" s="16" t="s">
        <v>136</v>
      </c>
      <c r="E7" s="20" t="s">
        <v>18</v>
      </c>
      <c r="F7" s="84">
        <f>'IOU Total Portfolio Summary'!C7</f>
        <v>21085.682254395368</v>
      </c>
      <c r="G7" s="84">
        <f>'IOU Total Portfolio Summary'!D7</f>
        <v>1509</v>
      </c>
      <c r="H7" s="84">
        <f>'IOU Total Portfolio Summary'!E7</f>
        <v>0</v>
      </c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9"/>
      <c r="AD7" s="19"/>
      <c r="AE7" s="19"/>
    </row>
    <row r="8" spans="1:31" x14ac:dyDescent="0.25">
      <c r="A8" s="17"/>
      <c r="B8" s="17"/>
      <c r="E8" s="2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5">
      <c r="A9" s="17">
        <f>IF(A8=0, A7+1, A8+1)</f>
        <v>2</v>
      </c>
      <c r="B9" s="17"/>
      <c r="C9" s="118" t="s">
        <v>95</v>
      </c>
      <c r="D9" s="119" t="s">
        <v>134</v>
      </c>
      <c r="E9" s="20" t="s">
        <v>19</v>
      </c>
      <c r="F9" s="21">
        <f>'IOU Total Portfolio Summary'!C11</f>
        <v>92.419267976991605</v>
      </c>
      <c r="G9" s="21">
        <f>'IOU Total Portfolio Summary'!D11</f>
        <v>0</v>
      </c>
      <c r="H9" s="21">
        <f>'IOU Total Portfolio Summary'!E11</f>
        <v>0</v>
      </c>
      <c r="I9" s="21">
        <f>'IOU Total Portfolio Summary'!F11</f>
        <v>0</v>
      </c>
      <c r="J9" s="21">
        <f>'IOU Total Portfolio Summary'!G11</f>
        <v>0</v>
      </c>
      <c r="K9" s="21">
        <f>'IOU Total Portfolio Summary'!H11</f>
        <v>1950.3798657718271</v>
      </c>
      <c r="L9" s="21">
        <f>'IOU Total Portfolio Summary'!I11</f>
        <v>399.87926174495936</v>
      </c>
      <c r="M9" s="21">
        <f>'IOU Total Portfolio Summary'!J11</f>
        <v>319.23201112176383</v>
      </c>
      <c r="N9" s="21">
        <f>'IOU Total Portfolio Summary'!K11</f>
        <v>829.93222435282939</v>
      </c>
      <c r="O9" s="21">
        <f>'IOU Total Portfolio Summary'!L11</f>
        <v>46.375395244487933</v>
      </c>
      <c r="P9" s="21">
        <f>'IOU Total Portfolio Summary'!M11</f>
        <v>111.71984659635574</v>
      </c>
      <c r="Q9" s="21">
        <f>'IOU Total Portfolio Summary'!N11</f>
        <v>765.84832803548045</v>
      </c>
      <c r="R9" s="21">
        <f>'IOU Total Portfolio Summary'!O11</f>
        <v>2425.2031717025461</v>
      </c>
      <c r="S9" s="21">
        <f>'IOU Total Portfolio Summary'!P11</f>
        <v>957.44445249302942</v>
      </c>
      <c r="T9" s="21">
        <f>'IOU Total Portfolio Summary'!Q11</f>
        <v>87.636415742103722</v>
      </c>
      <c r="U9" s="21">
        <f>'IOU Total Portfolio Summary'!R11</f>
        <v>30.088609944391397</v>
      </c>
      <c r="V9" s="21">
        <f>'IOU Total Portfolio Summary'!S11</f>
        <v>0</v>
      </c>
      <c r="W9" s="21">
        <f>'IOU Total Portfolio Summary'!T11</f>
        <v>0</v>
      </c>
      <c r="X9" s="21">
        <f>'IOU Total Portfolio Summary'!U11</f>
        <v>0</v>
      </c>
      <c r="Y9" s="21">
        <f>'IOU Total Portfolio Summary'!V11</f>
        <v>0</v>
      </c>
      <c r="Z9" s="21">
        <f>'IOU Total Portfolio Summary'!W11</f>
        <v>0</v>
      </c>
      <c r="AA9" s="21">
        <f>'IOU Total Portfolio Summary'!X11</f>
        <v>0</v>
      </c>
      <c r="AB9" s="21">
        <f>'IOU Total Portfolio Summary'!Y11</f>
        <v>0</v>
      </c>
      <c r="AC9" s="19"/>
      <c r="AD9" s="19"/>
      <c r="AE9" s="19"/>
    </row>
    <row r="10" spans="1:31" x14ac:dyDescent="0.25">
      <c r="A10" s="17">
        <f t="shared" ref="A10:A13" si="0">IF(A9=0, A8+1, A9+1)</f>
        <v>3</v>
      </c>
      <c r="B10" s="17"/>
      <c r="C10" s="118" t="s">
        <v>75</v>
      </c>
      <c r="D10" s="119" t="s">
        <v>135</v>
      </c>
      <c r="E10" s="20" t="s">
        <v>19</v>
      </c>
      <c r="F10" s="21">
        <f>'IOU Total Portfolio Summary'!C12</f>
        <v>9.8630512183501455</v>
      </c>
      <c r="G10" s="21">
        <f>'IOU Total Portfolio Summary'!D12</f>
        <v>0</v>
      </c>
      <c r="H10" s="21">
        <f>'IOU Total Portfolio Summary'!E12</f>
        <v>0</v>
      </c>
      <c r="I10" s="21">
        <f>'IOU Total Portfolio Summary'!F12</f>
        <v>0</v>
      </c>
      <c r="J10" s="21">
        <f>'IOU Total Portfolio Summary'!G12</f>
        <v>0</v>
      </c>
      <c r="K10" s="21">
        <f>'IOU Total Portfolio Summary'!H12</f>
        <v>93.761274244123499</v>
      </c>
      <c r="L10" s="21">
        <f>'IOU Total Portfolio Summary'!I12</f>
        <v>253.83332804239862</v>
      </c>
      <c r="M10" s="21">
        <f>'IOU Total Portfolio Summary'!J12</f>
        <v>202.6404756453384</v>
      </c>
      <c r="N10" s="21">
        <f>'IOU Total Portfolio Summary'!K12</f>
        <v>0</v>
      </c>
      <c r="O10" s="21">
        <f>'IOU Total Portfolio Summary'!L12</f>
        <v>352.29034522337241</v>
      </c>
      <c r="P10" s="21">
        <f>'IOU Total Portfolio Summary'!M12</f>
        <v>413.93978779792093</v>
      </c>
      <c r="Q10" s="21">
        <f>'IOU Total Portfolio Summary'!N12</f>
        <v>470.20505394642703</v>
      </c>
      <c r="R10" s="21">
        <f>'IOU Total Portfolio Summary'!O12</f>
        <v>1524.8516657950254</v>
      </c>
      <c r="S10" s="21">
        <f>'IOU Total Portfolio Summary'!P12</f>
        <v>607.76172970690789</v>
      </c>
      <c r="T10" s="21">
        <f>'IOU Total Portfolio Summary'!Q12</f>
        <v>55.629399155271017</v>
      </c>
      <c r="U10" s="21">
        <f>'IOU Total Portfolio Summary'!R12</f>
        <v>19.099495095161064</v>
      </c>
      <c r="V10" s="21">
        <f>'IOU Total Portfolio Summary'!S12</f>
        <v>0</v>
      </c>
      <c r="W10" s="21">
        <f>'IOU Total Portfolio Summary'!T12</f>
        <v>0</v>
      </c>
      <c r="X10" s="21">
        <f>'IOU Total Portfolio Summary'!U12</f>
        <v>0</v>
      </c>
      <c r="Y10" s="21">
        <f>'IOU Total Portfolio Summary'!V12</f>
        <v>0</v>
      </c>
      <c r="Z10" s="21">
        <f>'IOU Total Portfolio Summary'!W12</f>
        <v>0</v>
      </c>
      <c r="AA10" s="21">
        <f>'IOU Total Portfolio Summary'!X12</f>
        <v>0</v>
      </c>
      <c r="AB10" s="21">
        <f>'IOU Total Portfolio Summary'!Y12</f>
        <v>0</v>
      </c>
      <c r="AC10" s="19"/>
      <c r="AD10" s="19"/>
      <c r="AE10" s="19"/>
    </row>
    <row r="11" spans="1:31" x14ac:dyDescent="0.25">
      <c r="A11" s="17">
        <f t="shared" si="0"/>
        <v>4</v>
      </c>
      <c r="B11" s="17"/>
      <c r="C11" s="118" t="s">
        <v>94</v>
      </c>
      <c r="D11" s="119" t="s">
        <v>146</v>
      </c>
      <c r="E11" s="20" t="s">
        <v>19</v>
      </c>
      <c r="F11" s="21">
        <f>'IOU Total Portfolio Summary'!C17</f>
        <v>52</v>
      </c>
      <c r="G11" s="21">
        <f>'IOU Total Portfolio Summary'!D17</f>
        <v>0</v>
      </c>
      <c r="H11" s="21">
        <f>'IOU Total Portfolio Summary'!E17</f>
        <v>0</v>
      </c>
      <c r="I11" s="21">
        <f>'IOU Total Portfolio Summary'!F17</f>
        <v>0</v>
      </c>
      <c r="J11" s="21">
        <f>'IOU Total Portfolio Summary'!G17</f>
        <v>0</v>
      </c>
      <c r="K11" s="21">
        <f>'IOU Total Portfolio Summary'!H17</f>
        <v>0</v>
      </c>
      <c r="L11" s="21">
        <f>'IOU Total Portfolio Summary'!I17</f>
        <v>21.9</v>
      </c>
      <c r="M11" s="21">
        <f>'IOU Total Portfolio Summary'!J17</f>
        <v>0</v>
      </c>
      <c r="N11" s="21">
        <f>'IOU Total Portfolio Summary'!K17</f>
        <v>-58.4</v>
      </c>
      <c r="O11" s="21">
        <f>'IOU Total Portfolio Summary'!L17</f>
        <v>0</v>
      </c>
      <c r="P11" s="21">
        <f>'IOU Total Portfolio Summary'!M17</f>
        <v>0</v>
      </c>
      <c r="Q11" s="21">
        <f>'IOU Total Portfolio Summary'!N17</f>
        <v>1.43</v>
      </c>
      <c r="R11" s="21">
        <f>'IOU Total Portfolio Summary'!O17</f>
        <v>91</v>
      </c>
      <c r="S11" s="21">
        <f>'IOU Total Portfolio Summary'!P17</f>
        <v>18.755100000000002</v>
      </c>
      <c r="T11" s="21">
        <f>'IOU Total Portfolio Summary'!Q17</f>
        <v>5.1400000000000006</v>
      </c>
      <c r="U11" s="21">
        <f>'IOU Total Portfolio Summary'!R17</f>
        <v>0</v>
      </c>
      <c r="V11" s="21">
        <f>'IOU Total Portfolio Summary'!S17</f>
        <v>0</v>
      </c>
      <c r="W11" s="21">
        <f>'IOU Total Portfolio Summary'!T17</f>
        <v>0</v>
      </c>
      <c r="X11" s="21">
        <f>'IOU Total Portfolio Summary'!U17</f>
        <v>0</v>
      </c>
      <c r="Y11" s="21">
        <f>'IOU Total Portfolio Summary'!V17</f>
        <v>0</v>
      </c>
      <c r="Z11" s="21">
        <f>'IOU Total Portfolio Summary'!W17</f>
        <v>0</v>
      </c>
      <c r="AA11" s="21">
        <f>'IOU Total Portfolio Summary'!X17</f>
        <v>0</v>
      </c>
      <c r="AB11" s="21">
        <f>'IOU Total Portfolio Summary'!Y17</f>
        <v>0</v>
      </c>
      <c r="AC11" s="19"/>
      <c r="AD11" s="19"/>
      <c r="AE11" s="19"/>
    </row>
    <row r="12" spans="1:31" x14ac:dyDescent="0.25">
      <c r="A12" s="17">
        <f t="shared" si="0"/>
        <v>5</v>
      </c>
      <c r="B12" s="17"/>
      <c r="C12" s="118" t="s">
        <v>108</v>
      </c>
      <c r="D12" s="119" t="s">
        <v>148</v>
      </c>
      <c r="E12" s="20" t="s">
        <v>20</v>
      </c>
      <c r="F12" s="21">
        <f>'IOU Total Portfolio Summary'!C18</f>
        <v>30.2</v>
      </c>
      <c r="G12" s="21">
        <f>'IOU Total Portfolio Summary'!D18</f>
        <v>0</v>
      </c>
      <c r="H12" s="21">
        <f>'IOU Total Portfolio Summary'!E18</f>
        <v>0</v>
      </c>
      <c r="I12" s="21">
        <f>'IOU Total Portfolio Summary'!F18</f>
        <v>0</v>
      </c>
      <c r="J12" s="21">
        <f>'IOU Total Portfolio Summary'!G18</f>
        <v>0</v>
      </c>
      <c r="K12" s="21">
        <f>'IOU Total Portfolio Summary'!H18</f>
        <v>660.1</v>
      </c>
      <c r="L12" s="21">
        <f>'IOU Total Portfolio Summary'!I18</f>
        <v>5.4</v>
      </c>
      <c r="M12" s="21">
        <f>'IOU Total Portfolio Summary'!J18</f>
        <v>19.8</v>
      </c>
      <c r="N12" s="21">
        <f>'IOU Total Portfolio Summary'!K18</f>
        <v>0</v>
      </c>
      <c r="O12" s="21">
        <f>'IOU Total Portfolio Summary'!L18</f>
        <v>44</v>
      </c>
      <c r="P12" s="21">
        <f>'IOU Total Portfolio Summary'!M18</f>
        <v>98.1</v>
      </c>
      <c r="Q12" s="21">
        <f>'IOU Total Portfolio Summary'!N18</f>
        <v>90.9</v>
      </c>
      <c r="R12" s="21">
        <f>'IOU Total Portfolio Summary'!O18</f>
        <v>153.70499999999998</v>
      </c>
      <c r="S12" s="21">
        <f>'IOU Total Portfolio Summary'!P18</f>
        <v>32.293333333333337</v>
      </c>
      <c r="T12" s="21">
        <f>'IOU Total Portfolio Summary'!Q18</f>
        <v>0</v>
      </c>
      <c r="U12" s="21">
        <f>'IOU Total Portfolio Summary'!R18</f>
        <v>2.46</v>
      </c>
      <c r="V12" s="21">
        <f>'IOU Total Portfolio Summary'!S18</f>
        <v>0</v>
      </c>
      <c r="W12" s="21">
        <f>'IOU Total Portfolio Summary'!T18</f>
        <v>0</v>
      </c>
      <c r="X12" s="21">
        <f>'IOU Total Portfolio Summary'!U18</f>
        <v>0</v>
      </c>
      <c r="Y12" s="21">
        <f>'IOU Total Portfolio Summary'!V18</f>
        <v>283.10000000000002</v>
      </c>
      <c r="Z12" s="21">
        <f>'IOU Total Portfolio Summary'!W18</f>
        <v>494</v>
      </c>
      <c r="AA12" s="21">
        <f>'IOU Total Portfolio Summary'!X18</f>
        <v>0</v>
      </c>
      <c r="AB12" s="21">
        <f>'IOU Total Portfolio Summary'!Y18</f>
        <v>0</v>
      </c>
      <c r="AC12" s="21"/>
      <c r="AD12" s="22"/>
      <c r="AE12" s="19"/>
    </row>
    <row r="13" spans="1:31" x14ac:dyDescent="0.25">
      <c r="A13" s="17">
        <f t="shared" si="0"/>
        <v>6</v>
      </c>
      <c r="B13" s="17"/>
      <c r="C13" s="118" t="s">
        <v>93</v>
      </c>
      <c r="D13" s="119" t="s">
        <v>147</v>
      </c>
      <c r="E13" s="20"/>
      <c r="F13" s="21">
        <f>'IOU Total Portfolio Summary'!C19</f>
        <v>0</v>
      </c>
      <c r="G13" s="21">
        <f>'IOU Total Portfolio Summary'!D19</f>
        <v>0</v>
      </c>
      <c r="H13" s="21">
        <f>'IOU Total Portfolio Summary'!E19</f>
        <v>0</v>
      </c>
      <c r="I13" s="21">
        <f>'IOU Total Portfolio Summary'!F19</f>
        <v>0</v>
      </c>
      <c r="J13" s="21">
        <f>'IOU Total Portfolio Summary'!G19</f>
        <v>0</v>
      </c>
      <c r="K13" s="21">
        <f>'IOU Total Portfolio Summary'!H19</f>
        <v>0</v>
      </c>
      <c r="L13" s="21">
        <f>'IOU Total Portfolio Summary'!I19</f>
        <v>0</v>
      </c>
      <c r="M13" s="21">
        <f>'IOU Total Portfolio Summary'!J19</f>
        <v>0</v>
      </c>
      <c r="N13" s="21">
        <f>'IOU Total Portfolio Summary'!K19</f>
        <v>312.3</v>
      </c>
      <c r="O13" s="21">
        <f>'IOU Total Portfolio Summary'!L19</f>
        <v>0</v>
      </c>
      <c r="P13" s="21">
        <f>'IOU Total Portfolio Summary'!M19</f>
        <v>0</v>
      </c>
      <c r="Q13" s="21">
        <f>'IOU Total Portfolio Summary'!N19</f>
        <v>0</v>
      </c>
      <c r="R13" s="21">
        <f>'IOU Total Portfolio Summary'!O19</f>
        <v>0</v>
      </c>
      <c r="S13" s="21">
        <f>'IOU Total Portfolio Summary'!P19</f>
        <v>0</v>
      </c>
      <c r="T13" s="21">
        <f>'IOU Total Portfolio Summary'!Q19</f>
        <v>0</v>
      </c>
      <c r="U13" s="21">
        <f>'IOU Total Portfolio Summary'!R19</f>
        <v>0</v>
      </c>
      <c r="V13" s="21">
        <f>'IOU Total Portfolio Summary'!S19</f>
        <v>0</v>
      </c>
      <c r="W13" s="21">
        <f>'IOU Total Portfolio Summary'!T19</f>
        <v>0</v>
      </c>
      <c r="X13" s="21">
        <f>'IOU Total Portfolio Summary'!U19</f>
        <v>0</v>
      </c>
      <c r="Y13" s="21">
        <f>'IOU Total Portfolio Summary'!V19</f>
        <v>0</v>
      </c>
      <c r="Z13" s="21">
        <f>'IOU Total Portfolio Summary'!W19</f>
        <v>0</v>
      </c>
      <c r="AA13" s="21">
        <f>'IOU Total Portfolio Summary'!X19</f>
        <v>0</v>
      </c>
      <c r="AB13" s="21">
        <f>'IOU Total Portfolio Summary'!Y19</f>
        <v>0</v>
      </c>
      <c r="AC13" s="21"/>
      <c r="AD13" s="22"/>
      <c r="AE13" s="19"/>
    </row>
    <row r="14" spans="1:31" x14ac:dyDescent="0.25">
      <c r="A14" s="17"/>
      <c r="B14" s="17"/>
      <c r="C14" s="118"/>
      <c r="D14" s="119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2"/>
      <c r="AE14" s="19"/>
    </row>
    <row r="15" spans="1:31" x14ac:dyDescent="0.25">
      <c r="A15" s="17">
        <f>IF(A13=0,A14+ 1, A13+1)</f>
        <v>7</v>
      </c>
      <c r="B15" s="13" t="s">
        <v>21</v>
      </c>
      <c r="C15" s="13"/>
      <c r="D15" s="73" t="s">
        <v>132</v>
      </c>
      <c r="E15" s="23" t="s">
        <v>22</v>
      </c>
      <c r="F15" s="74">
        <f t="shared" ref="F15:AB15" si="1">IF(F9=0,"NA",F7/F9)</f>
        <v>228.15244824969605</v>
      </c>
      <c r="G15" s="74" t="str">
        <f t="shared" si="1"/>
        <v>NA</v>
      </c>
      <c r="H15" s="74" t="str">
        <f t="shared" si="1"/>
        <v>NA</v>
      </c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24"/>
      <c r="AD15" s="24"/>
      <c r="AE15" s="19"/>
    </row>
    <row r="16" spans="1:31" x14ac:dyDescent="0.25">
      <c r="A16" s="17"/>
      <c r="B16" s="17"/>
      <c r="E16" s="93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25"/>
      <c r="AD16" s="25"/>
      <c r="AE16" s="19"/>
    </row>
    <row r="17" spans="1:45" x14ac:dyDescent="0.25">
      <c r="A17" s="17">
        <f t="shared" ref="A17:A50" si="2">IF(A16=0, A15+1, A16+1)</f>
        <v>8</v>
      </c>
      <c r="B17" s="18" t="s">
        <v>23</v>
      </c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45" x14ac:dyDescent="0.25">
      <c r="A18" s="17"/>
      <c r="B18" s="17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45" x14ac:dyDescent="0.25">
      <c r="A19" s="17">
        <f t="shared" si="2"/>
        <v>9</v>
      </c>
      <c r="B19" s="17"/>
      <c r="C19" s="13" t="s">
        <v>24</v>
      </c>
      <c r="E19" s="20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45" x14ac:dyDescent="0.25">
      <c r="A20" s="17">
        <f t="shared" si="2"/>
        <v>10</v>
      </c>
      <c r="B20" s="17"/>
      <c r="C20" s="12" t="s">
        <v>25</v>
      </c>
      <c r="D20" s="119" t="str">
        <f>"Line "&amp;A9</f>
        <v>Line 2</v>
      </c>
      <c r="E20" s="20" t="s">
        <v>26</v>
      </c>
      <c r="F20" s="21">
        <f t="shared" ref="F20:AB20" si="3">F9*1000</f>
        <v>92419.267976991599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1950379.8657718271</v>
      </c>
      <c r="L20" s="21">
        <f t="shared" si="3"/>
        <v>399879.26174495934</v>
      </c>
      <c r="M20" s="21">
        <f t="shared" si="3"/>
        <v>319232.01112176385</v>
      </c>
      <c r="N20" s="21">
        <f t="shared" si="3"/>
        <v>829932.22435282939</v>
      </c>
      <c r="O20" s="21">
        <f t="shared" si="3"/>
        <v>46375.395244487932</v>
      </c>
      <c r="P20" s="21">
        <f t="shared" si="3"/>
        <v>111719.84659635574</v>
      </c>
      <c r="Q20" s="21">
        <f t="shared" si="3"/>
        <v>765848.32803548046</v>
      </c>
      <c r="R20" s="21">
        <f t="shared" si="3"/>
        <v>2425203.1717025461</v>
      </c>
      <c r="S20" s="21">
        <f t="shared" si="3"/>
        <v>957444.45249302941</v>
      </c>
      <c r="T20" s="21">
        <f t="shared" si="3"/>
        <v>87636.415742103723</v>
      </c>
      <c r="U20" s="21">
        <f t="shared" si="3"/>
        <v>30088.609944391395</v>
      </c>
      <c r="V20" s="21">
        <f t="shared" si="3"/>
        <v>0</v>
      </c>
      <c r="W20" s="21">
        <f t="shared" si="3"/>
        <v>0</v>
      </c>
      <c r="X20" s="21">
        <f t="shared" si="3"/>
        <v>0</v>
      </c>
      <c r="Y20" s="21">
        <f t="shared" si="3"/>
        <v>0</v>
      </c>
      <c r="Z20" s="21">
        <f t="shared" si="3"/>
        <v>0</v>
      </c>
      <c r="AA20" s="21">
        <f t="shared" si="3"/>
        <v>0</v>
      </c>
      <c r="AB20" s="21">
        <f t="shared" si="3"/>
        <v>0</v>
      </c>
      <c r="AC20" s="19"/>
      <c r="AD20" s="19"/>
      <c r="AE20" s="19"/>
    </row>
    <row r="21" spans="1:45" x14ac:dyDescent="0.25">
      <c r="A21" s="17">
        <f t="shared" si="2"/>
        <v>11</v>
      </c>
      <c r="B21" s="17"/>
      <c r="C21" s="12" t="s">
        <v>27</v>
      </c>
      <c r="D21" s="16" t="s">
        <v>117</v>
      </c>
      <c r="E21" s="20" t="s">
        <v>22</v>
      </c>
      <c r="F21" s="26">
        <f>'PCIA Inputs'!$D$8</f>
        <v>44.711839649244396</v>
      </c>
      <c r="G21" s="26">
        <f>'PCIA Inputs'!$D$8</f>
        <v>44.711839649244396</v>
      </c>
      <c r="H21" s="26">
        <f>'PCIA Inputs'!$D$8</f>
        <v>44.711839649244396</v>
      </c>
      <c r="I21" s="26">
        <f>'PCIA Inputs'!$D$8</f>
        <v>44.711839649244396</v>
      </c>
      <c r="J21" s="26">
        <f>'PCIA Inputs'!$D$8</f>
        <v>44.711839649244396</v>
      </c>
      <c r="K21" s="114">
        <f>'PCIA Inputs'!$D$8</f>
        <v>44.711839649244396</v>
      </c>
      <c r="L21" s="26">
        <f>'PCIA Inputs'!$D$8</f>
        <v>44.711839649244396</v>
      </c>
      <c r="M21" s="26">
        <f>'PCIA Inputs'!$D$8</f>
        <v>44.711839649244396</v>
      </c>
      <c r="N21" s="26">
        <f>'PCIA Inputs'!$D$8</f>
        <v>44.711839649244396</v>
      </c>
      <c r="O21" s="26">
        <f>'PCIA Inputs'!$D$8</f>
        <v>44.711839649244396</v>
      </c>
      <c r="P21" s="26">
        <f>'PCIA Inputs'!$D$8</f>
        <v>44.711839649244396</v>
      </c>
      <c r="Q21" s="26">
        <f>'PCIA Inputs'!$D$8</f>
        <v>44.711839649244396</v>
      </c>
      <c r="R21" s="26">
        <f>'PCIA Inputs'!$D$8</f>
        <v>44.711839649244396</v>
      </c>
      <c r="S21" s="26">
        <f>'PCIA Inputs'!$D$8</f>
        <v>44.711839649244396</v>
      </c>
      <c r="T21" s="26">
        <f>'PCIA Inputs'!$D$8</f>
        <v>44.711839649244396</v>
      </c>
      <c r="U21" s="26">
        <f>'PCIA Inputs'!$D$8</f>
        <v>44.711839649244396</v>
      </c>
      <c r="V21" s="26">
        <f>'PCIA Inputs'!$D$8</f>
        <v>44.711839649244396</v>
      </c>
      <c r="W21" s="26">
        <f>'PCIA Inputs'!$D$8</f>
        <v>44.711839649244396</v>
      </c>
      <c r="X21" s="26">
        <f>'PCIA Inputs'!$D$8</f>
        <v>44.711839649244396</v>
      </c>
      <c r="Y21" s="26">
        <f>'PCIA Inputs'!$D$8</f>
        <v>44.711839649244396</v>
      </c>
      <c r="Z21" s="26">
        <f>'PCIA Inputs'!$D$8</f>
        <v>44.711839649244396</v>
      </c>
      <c r="AA21" s="26">
        <f>'PCIA Inputs'!$D$8</f>
        <v>44.711839649244396</v>
      </c>
      <c r="AB21" s="26">
        <f>'PCIA Inputs'!$D$8</f>
        <v>44.711839649244396</v>
      </c>
      <c r="AC21" s="26"/>
      <c r="AD21" s="27"/>
      <c r="AE21" s="19"/>
    </row>
    <row r="22" spans="1:45" x14ac:dyDescent="0.25">
      <c r="A22" s="17">
        <f t="shared" si="2"/>
        <v>12</v>
      </c>
      <c r="B22" s="17"/>
      <c r="C22" s="13" t="s">
        <v>24</v>
      </c>
      <c r="D22" s="14" t="str">
        <f>"Line "&amp;A20&amp;" x Line "&amp;A21</f>
        <v>Line 10 x Line 11</v>
      </c>
      <c r="E22" s="23" t="s">
        <v>18</v>
      </c>
      <c r="F22" s="28">
        <f>(F20*F21)/1000</f>
        <v>4132.235490287796</v>
      </c>
      <c r="G22" s="28">
        <f>(G20*G21)/1000</f>
        <v>0</v>
      </c>
      <c r="H22" s="28">
        <f>(H20*H21)/1000</f>
        <v>0</v>
      </c>
      <c r="I22" s="28">
        <f t="shared" ref="H22:W22" si="4">(I20*I21)/1000</f>
        <v>0</v>
      </c>
      <c r="J22" s="28">
        <f>(J20*J21)/1000</f>
        <v>0</v>
      </c>
      <c r="K22" s="28">
        <f>(K20*K21)/1000</f>
        <v>87205.071813504735</v>
      </c>
      <c r="L22" s="28">
        <f t="shared" si="4"/>
        <v>17879.337430198852</v>
      </c>
      <c r="M22" s="28">
        <f t="shared" si="4"/>
        <v>14273.45049218211</v>
      </c>
      <c r="N22" s="28">
        <f t="shared" si="4"/>
        <v>37107.796535004432</v>
      </c>
      <c r="O22" s="28">
        <f t="shared" si="4"/>
        <v>2073.5292358418756</v>
      </c>
      <c r="P22" s="28">
        <f t="shared" si="4"/>
        <v>4995.1998666544396</v>
      </c>
      <c r="Q22" s="28">
        <f t="shared" si="4"/>
        <v>34242.487638764323</v>
      </c>
      <c r="R22" s="28">
        <f t="shared" si="4"/>
        <v>108435.29533000317</v>
      </c>
      <c r="S22" s="28">
        <f t="shared" si="4"/>
        <v>42809.102832926932</v>
      </c>
      <c r="T22" s="28">
        <f t="shared" si="4"/>
        <v>3918.3853680954589</v>
      </c>
      <c r="U22" s="28">
        <f t="shared" si="4"/>
        <v>1345.3171031022885</v>
      </c>
      <c r="V22" s="28">
        <f t="shared" si="4"/>
        <v>0</v>
      </c>
      <c r="W22" s="28">
        <f t="shared" si="4"/>
        <v>0</v>
      </c>
      <c r="X22" s="28">
        <f>(X20*X21)/1000</f>
        <v>0</v>
      </c>
      <c r="Y22" s="28">
        <f>(Y20*Y21)/1000</f>
        <v>0</v>
      </c>
      <c r="Z22" s="28">
        <f>(Z20*Z21)/1000</f>
        <v>0</v>
      </c>
      <c r="AA22" s="28">
        <f>(AA20*AA21)/1000</f>
        <v>0</v>
      </c>
      <c r="AB22" s="28">
        <f>(AB20*AB21)/1000</f>
        <v>0</v>
      </c>
      <c r="AC22" s="28"/>
      <c r="AD22" s="29"/>
      <c r="AE22" s="19"/>
    </row>
    <row r="23" spans="1:45" x14ac:dyDescent="0.25">
      <c r="A23" s="17"/>
      <c r="B23" s="17"/>
      <c r="E23" s="93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30"/>
      <c r="AD23" s="19"/>
      <c r="AE23" s="19"/>
    </row>
    <row r="24" spans="1:45" x14ac:dyDescent="0.25">
      <c r="A24" s="17">
        <f t="shared" si="2"/>
        <v>13</v>
      </c>
      <c r="B24" s="17"/>
      <c r="C24" s="13" t="s">
        <v>28</v>
      </c>
      <c r="E24" s="20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45" x14ac:dyDescent="0.25">
      <c r="A25" s="17">
        <f t="shared" si="2"/>
        <v>14</v>
      </c>
      <c r="B25" s="17"/>
      <c r="C25" s="12" t="s">
        <v>29</v>
      </c>
      <c r="D25" s="119" t="str">
        <f>"Line "&amp;A10</f>
        <v>Line 3</v>
      </c>
      <c r="E25" s="20" t="s">
        <v>26</v>
      </c>
      <c r="F25" s="21">
        <f t="shared" ref="F25:AB25" si="5">F10*1000</f>
        <v>9863.0512183501451</v>
      </c>
      <c r="G25" s="21">
        <f t="shared" si="5"/>
        <v>0</v>
      </c>
      <c r="H25" s="21">
        <f t="shared" si="5"/>
        <v>0</v>
      </c>
      <c r="I25" s="21">
        <f t="shared" si="5"/>
        <v>0</v>
      </c>
      <c r="J25" s="21">
        <f t="shared" si="5"/>
        <v>0</v>
      </c>
      <c r="K25" s="21">
        <f t="shared" si="5"/>
        <v>93761.274244123502</v>
      </c>
      <c r="L25" s="21">
        <f t="shared" si="5"/>
        <v>253833.32804239861</v>
      </c>
      <c r="M25" s="21">
        <f t="shared" si="5"/>
        <v>202640.47564533839</v>
      </c>
      <c r="N25" s="21">
        <f t="shared" si="5"/>
        <v>0</v>
      </c>
      <c r="O25" s="21">
        <f t="shared" si="5"/>
        <v>352290.34522337239</v>
      </c>
      <c r="P25" s="21">
        <f t="shared" si="5"/>
        <v>413939.78779792093</v>
      </c>
      <c r="Q25" s="21">
        <f t="shared" si="5"/>
        <v>470205.05394642701</v>
      </c>
      <c r="R25" s="21">
        <f t="shared" si="5"/>
        <v>1524851.6657950254</v>
      </c>
      <c r="S25" s="21">
        <f t="shared" si="5"/>
        <v>607761.72970690788</v>
      </c>
      <c r="T25" s="21">
        <f t="shared" si="5"/>
        <v>55629.399155271014</v>
      </c>
      <c r="U25" s="21">
        <f t="shared" si="5"/>
        <v>19099.495095161063</v>
      </c>
      <c r="V25" s="21">
        <f t="shared" si="5"/>
        <v>0</v>
      </c>
      <c r="W25" s="21">
        <f t="shared" si="5"/>
        <v>0</v>
      </c>
      <c r="X25" s="21">
        <f t="shared" si="5"/>
        <v>0</v>
      </c>
      <c r="Y25" s="21">
        <f t="shared" si="5"/>
        <v>0</v>
      </c>
      <c r="Z25" s="21">
        <f t="shared" si="5"/>
        <v>0</v>
      </c>
      <c r="AA25" s="21">
        <f t="shared" si="5"/>
        <v>0</v>
      </c>
      <c r="AB25" s="21">
        <f t="shared" si="5"/>
        <v>0</v>
      </c>
      <c r="AC25" s="19"/>
      <c r="AD25" s="19"/>
      <c r="AE25" s="19"/>
      <c r="AF25" s="19"/>
    </row>
    <row r="26" spans="1:45" x14ac:dyDescent="0.25">
      <c r="A26" s="17">
        <f t="shared" si="2"/>
        <v>15</v>
      </c>
      <c r="B26" s="17"/>
      <c r="C26" s="12" t="s">
        <v>133</v>
      </c>
      <c r="D26" s="16" t="s">
        <v>118</v>
      </c>
      <c r="E26" s="20" t="s">
        <v>22</v>
      </c>
      <c r="F26" s="26">
        <f>'PCIA Inputs'!$D$10</f>
        <v>14.49</v>
      </c>
      <c r="G26" s="26">
        <f>'PCIA Inputs'!$D$10</f>
        <v>14.49</v>
      </c>
      <c r="H26" s="26">
        <f>'PCIA Inputs'!$D$10</f>
        <v>14.49</v>
      </c>
      <c r="I26" s="26">
        <f>'PCIA Inputs'!$D$10</f>
        <v>14.49</v>
      </c>
      <c r="J26" s="26">
        <f>'PCIA Inputs'!$D$10</f>
        <v>14.49</v>
      </c>
      <c r="K26" s="26">
        <f>'PCIA Inputs'!$D$10</f>
        <v>14.49</v>
      </c>
      <c r="L26" s="26">
        <f>'PCIA Inputs'!$D$10</f>
        <v>14.49</v>
      </c>
      <c r="M26" s="26">
        <f>'PCIA Inputs'!$D$10</f>
        <v>14.49</v>
      </c>
      <c r="N26" s="26">
        <f>'PCIA Inputs'!$D$10</f>
        <v>14.49</v>
      </c>
      <c r="O26" s="26">
        <f>'PCIA Inputs'!$D$10</f>
        <v>14.49</v>
      </c>
      <c r="P26" s="26">
        <f>'PCIA Inputs'!$D$10</f>
        <v>14.49</v>
      </c>
      <c r="Q26" s="26">
        <f>'PCIA Inputs'!$D$10</f>
        <v>14.49</v>
      </c>
      <c r="R26" s="26">
        <f>'PCIA Inputs'!$D$10</f>
        <v>14.49</v>
      </c>
      <c r="S26" s="26">
        <f>'PCIA Inputs'!$D$10</f>
        <v>14.49</v>
      </c>
      <c r="T26" s="26">
        <f>'PCIA Inputs'!$D$10</f>
        <v>14.49</v>
      </c>
      <c r="U26" s="26">
        <f>'PCIA Inputs'!$D$10</f>
        <v>14.49</v>
      </c>
      <c r="V26" s="26">
        <f>'PCIA Inputs'!$D$10</f>
        <v>14.49</v>
      </c>
      <c r="W26" s="26">
        <f>'PCIA Inputs'!$D$10</f>
        <v>14.49</v>
      </c>
      <c r="X26" s="26">
        <f>'PCIA Inputs'!$D$10</f>
        <v>14.49</v>
      </c>
      <c r="Y26" s="26">
        <f>'PCIA Inputs'!$D$10</f>
        <v>14.49</v>
      </c>
      <c r="Z26" s="26">
        <f>'PCIA Inputs'!$D$10</f>
        <v>14.49</v>
      </c>
      <c r="AA26" s="26">
        <f>'PCIA Inputs'!$D$10</f>
        <v>14.49</v>
      </c>
      <c r="AB26" s="26">
        <f>'PCIA Inputs'!$D$10</f>
        <v>14.49</v>
      </c>
      <c r="AC26" s="26"/>
      <c r="AD26" s="27"/>
      <c r="AE26" s="19"/>
    </row>
    <row r="27" spans="1:45" x14ac:dyDescent="0.25">
      <c r="A27" s="17">
        <f t="shared" si="2"/>
        <v>16</v>
      </c>
      <c r="B27" s="17"/>
      <c r="C27" s="13" t="s">
        <v>28</v>
      </c>
      <c r="D27" s="14" t="str">
        <f>"Line "&amp;A25&amp;" x Line "&amp;A26</f>
        <v>Line 14 x Line 15</v>
      </c>
      <c r="E27" s="23" t="s">
        <v>18</v>
      </c>
      <c r="F27" s="28">
        <f>(F26*F25)/1000</f>
        <v>142.91561215389359</v>
      </c>
      <c r="G27" s="28">
        <f>(G26*G25)/1000</f>
        <v>0</v>
      </c>
      <c r="H27" s="28">
        <f t="shared" ref="H27:W27" si="6">(H26*H25)/1000</f>
        <v>0</v>
      </c>
      <c r="I27" s="28">
        <f>(I26*I25)/1000</f>
        <v>0</v>
      </c>
      <c r="J27" s="28">
        <f t="shared" si="6"/>
        <v>0</v>
      </c>
      <c r="K27" s="28">
        <f t="shared" si="6"/>
        <v>1358.6008637973496</v>
      </c>
      <c r="L27" s="28">
        <f t="shared" si="6"/>
        <v>3678.0449233343561</v>
      </c>
      <c r="M27" s="28">
        <f t="shared" si="6"/>
        <v>2936.2604921009533</v>
      </c>
      <c r="N27" s="28">
        <f t="shared" si="6"/>
        <v>0</v>
      </c>
      <c r="O27" s="28">
        <f t="shared" si="6"/>
        <v>5104.6871022866653</v>
      </c>
      <c r="P27" s="28">
        <f t="shared" si="6"/>
        <v>5997.9875251918738</v>
      </c>
      <c r="Q27" s="28">
        <f t="shared" si="6"/>
        <v>6813.2712316837269</v>
      </c>
      <c r="R27" s="28">
        <f t="shared" si="6"/>
        <v>22095.10063736992</v>
      </c>
      <c r="S27" s="28">
        <f t="shared" si="6"/>
        <v>8806.4674634530948</v>
      </c>
      <c r="T27" s="28">
        <f t="shared" si="6"/>
        <v>806.06999375987709</v>
      </c>
      <c r="U27" s="28">
        <f t="shared" si="6"/>
        <v>276.75168392888384</v>
      </c>
      <c r="V27" s="28">
        <f t="shared" si="6"/>
        <v>0</v>
      </c>
      <c r="W27" s="28">
        <f t="shared" si="6"/>
        <v>0</v>
      </c>
      <c r="X27" s="28">
        <f>(X26*X25)/1000</f>
        <v>0</v>
      </c>
      <c r="Y27" s="28">
        <f>(Y26*Y25)/1000</f>
        <v>0</v>
      </c>
      <c r="Z27" s="28">
        <f>(Z26*Z25)/1000</f>
        <v>0</v>
      </c>
      <c r="AA27" s="28">
        <f>(AA26*AA25)/1000</f>
        <v>0</v>
      </c>
      <c r="AB27" s="28">
        <f>(AB26*AB25)/1000</f>
        <v>0</v>
      </c>
      <c r="AC27" s="28"/>
      <c r="AD27" s="24"/>
      <c r="AE27" s="19"/>
      <c r="AF27" s="31"/>
    </row>
    <row r="28" spans="1:45" x14ac:dyDescent="0.25">
      <c r="A28" s="17"/>
      <c r="B28" s="17"/>
      <c r="E28" s="93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19"/>
      <c r="AD28" s="19"/>
      <c r="AE28" s="19"/>
    </row>
    <row r="29" spans="1:45" x14ac:dyDescent="0.25">
      <c r="A29" s="17">
        <f t="shared" si="2"/>
        <v>17</v>
      </c>
      <c r="B29" s="17"/>
      <c r="C29" s="13" t="s">
        <v>30</v>
      </c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45" x14ac:dyDescent="0.25">
      <c r="A30" s="17">
        <f t="shared" si="2"/>
        <v>18</v>
      </c>
      <c r="B30" s="17"/>
      <c r="C30" s="12" t="s">
        <v>31</v>
      </c>
      <c r="D30" s="119" t="str">
        <f>"Line "&amp;A11</f>
        <v>Line 4</v>
      </c>
      <c r="E30" s="20" t="s">
        <v>20</v>
      </c>
      <c r="F30" s="21">
        <f>F11</f>
        <v>52</v>
      </c>
      <c r="G30" s="21">
        <f t="shared" ref="G30:AB30" si="7">G11</f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21.9</v>
      </c>
      <c r="M30" s="21">
        <f t="shared" si="7"/>
        <v>0</v>
      </c>
      <c r="N30" s="21">
        <f t="shared" si="7"/>
        <v>-58.4</v>
      </c>
      <c r="O30" s="21">
        <f t="shared" si="7"/>
        <v>0</v>
      </c>
      <c r="P30" s="21">
        <f t="shared" si="7"/>
        <v>0</v>
      </c>
      <c r="Q30" s="21">
        <f t="shared" si="7"/>
        <v>1.43</v>
      </c>
      <c r="R30" s="21">
        <f t="shared" si="7"/>
        <v>91</v>
      </c>
      <c r="S30" s="21">
        <f t="shared" si="7"/>
        <v>18.755100000000002</v>
      </c>
      <c r="T30" s="21">
        <f t="shared" si="7"/>
        <v>5.1400000000000006</v>
      </c>
      <c r="U30" s="21">
        <f t="shared" si="7"/>
        <v>0</v>
      </c>
      <c r="V30" s="21">
        <f t="shared" si="7"/>
        <v>0</v>
      </c>
      <c r="W30" s="21">
        <f t="shared" si="7"/>
        <v>0</v>
      </c>
      <c r="X30" s="21">
        <f t="shared" si="7"/>
        <v>0</v>
      </c>
      <c r="Y30" s="21">
        <f t="shared" si="7"/>
        <v>0</v>
      </c>
      <c r="Z30" s="21">
        <f t="shared" si="7"/>
        <v>0</v>
      </c>
      <c r="AA30" s="21">
        <f t="shared" si="7"/>
        <v>0</v>
      </c>
      <c r="AB30" s="21">
        <f t="shared" si="7"/>
        <v>0</v>
      </c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</row>
    <row r="31" spans="1:45" x14ac:dyDescent="0.25">
      <c r="A31" s="17">
        <f t="shared" si="2"/>
        <v>19</v>
      </c>
      <c r="B31" s="17"/>
      <c r="C31" s="12" t="s">
        <v>86</v>
      </c>
      <c r="D31" s="16" t="s">
        <v>122</v>
      </c>
      <c r="E31" s="20" t="s">
        <v>32</v>
      </c>
      <c r="F31" s="26">
        <f>'PCIA Inputs'!$D$13</f>
        <v>73.199999999999989</v>
      </c>
      <c r="G31" s="26">
        <f>'PCIA Inputs'!$D$13</f>
        <v>73.199999999999989</v>
      </c>
      <c r="H31" s="26">
        <f>'PCIA Inputs'!$D$13</f>
        <v>73.199999999999989</v>
      </c>
      <c r="I31" s="26">
        <f>'PCIA Inputs'!$D$13</f>
        <v>73.199999999999989</v>
      </c>
      <c r="J31" s="26">
        <f>'PCIA Inputs'!$D$13</f>
        <v>73.199999999999989</v>
      </c>
      <c r="K31" s="26">
        <f>'PCIA Inputs'!$D$13</f>
        <v>73.199999999999989</v>
      </c>
      <c r="L31" s="26">
        <f>'PCIA Inputs'!$D$13</f>
        <v>73.199999999999989</v>
      </c>
      <c r="M31" s="26">
        <f>'PCIA Inputs'!$D$13</f>
        <v>73.199999999999989</v>
      </c>
      <c r="N31" s="26">
        <f>'PCIA Inputs'!$D$13</f>
        <v>73.199999999999989</v>
      </c>
      <c r="O31" s="26">
        <f>'PCIA Inputs'!$D$13</f>
        <v>73.199999999999989</v>
      </c>
      <c r="P31" s="26">
        <f>'PCIA Inputs'!$D$13</f>
        <v>73.199999999999989</v>
      </c>
      <c r="Q31" s="26">
        <f>'PCIA Inputs'!$D$13</f>
        <v>73.199999999999989</v>
      </c>
      <c r="R31" s="26">
        <f>'PCIA Inputs'!$D$13</f>
        <v>73.199999999999989</v>
      </c>
      <c r="S31" s="26">
        <f>'PCIA Inputs'!$D$13</f>
        <v>73.199999999999989</v>
      </c>
      <c r="T31" s="26">
        <f>'PCIA Inputs'!$D$13</f>
        <v>73.199999999999989</v>
      </c>
      <c r="U31" s="26">
        <f>'PCIA Inputs'!$D$13</f>
        <v>73.199999999999989</v>
      </c>
      <c r="V31" s="26">
        <f>'PCIA Inputs'!$D$13</f>
        <v>73.199999999999989</v>
      </c>
      <c r="W31" s="26">
        <f>'PCIA Inputs'!$D$13</f>
        <v>73.199999999999989</v>
      </c>
      <c r="X31" s="26">
        <f>'PCIA Inputs'!$D$13</f>
        <v>73.199999999999989</v>
      </c>
      <c r="Y31" s="26">
        <f>'PCIA Inputs'!$D$13</f>
        <v>73.199999999999989</v>
      </c>
      <c r="Z31" s="26">
        <f>'PCIA Inputs'!$D$13</f>
        <v>73.199999999999989</v>
      </c>
      <c r="AA31" s="26">
        <f>'PCIA Inputs'!$D$13</f>
        <v>73.199999999999989</v>
      </c>
      <c r="AB31" s="26">
        <f>'PCIA Inputs'!$D$13</f>
        <v>73.199999999999989</v>
      </c>
      <c r="AC31" s="26"/>
      <c r="AD31" s="27"/>
      <c r="AE31" s="19"/>
    </row>
    <row r="32" spans="1:45" x14ac:dyDescent="0.25">
      <c r="A32" s="17">
        <f t="shared" si="2"/>
        <v>20</v>
      </c>
      <c r="B32" s="17"/>
      <c r="C32" s="12" t="s">
        <v>105</v>
      </c>
      <c r="D32" s="119" t="str">
        <f>"Line "&amp;A12</f>
        <v>Line 5</v>
      </c>
      <c r="E32" s="20" t="s">
        <v>20</v>
      </c>
      <c r="F32" s="21">
        <f>F12</f>
        <v>30.2</v>
      </c>
      <c r="G32" s="21">
        <f t="shared" ref="G32:AB32" si="8">G12</f>
        <v>0</v>
      </c>
      <c r="H32" s="21">
        <f t="shared" si="8"/>
        <v>0</v>
      </c>
      <c r="I32" s="21">
        <f t="shared" si="8"/>
        <v>0</v>
      </c>
      <c r="J32" s="21">
        <f t="shared" si="8"/>
        <v>0</v>
      </c>
      <c r="K32" s="21">
        <f t="shared" si="8"/>
        <v>660.1</v>
      </c>
      <c r="L32" s="21">
        <f t="shared" si="8"/>
        <v>5.4</v>
      </c>
      <c r="M32" s="21">
        <f t="shared" si="8"/>
        <v>19.8</v>
      </c>
      <c r="N32" s="21">
        <f t="shared" si="8"/>
        <v>0</v>
      </c>
      <c r="O32" s="21">
        <f t="shared" si="8"/>
        <v>44</v>
      </c>
      <c r="P32" s="21">
        <f t="shared" si="8"/>
        <v>98.1</v>
      </c>
      <c r="Q32" s="21">
        <f t="shared" si="8"/>
        <v>90.9</v>
      </c>
      <c r="R32" s="21">
        <f t="shared" si="8"/>
        <v>153.70499999999998</v>
      </c>
      <c r="S32" s="21">
        <f t="shared" si="8"/>
        <v>32.293333333333337</v>
      </c>
      <c r="T32" s="21">
        <f t="shared" si="8"/>
        <v>0</v>
      </c>
      <c r="U32" s="21">
        <f t="shared" si="8"/>
        <v>2.46</v>
      </c>
      <c r="V32" s="21">
        <f t="shared" si="8"/>
        <v>0</v>
      </c>
      <c r="W32" s="21">
        <f t="shared" si="8"/>
        <v>0</v>
      </c>
      <c r="X32" s="21">
        <f t="shared" si="8"/>
        <v>0</v>
      </c>
      <c r="Y32" s="21">
        <f t="shared" si="8"/>
        <v>283.10000000000002</v>
      </c>
      <c r="Z32" s="21">
        <f t="shared" si="8"/>
        <v>494</v>
      </c>
      <c r="AA32" s="21">
        <f t="shared" si="8"/>
        <v>0</v>
      </c>
      <c r="AB32" s="21">
        <f t="shared" si="8"/>
        <v>0</v>
      </c>
      <c r="AC32" s="26"/>
      <c r="AD32" s="27"/>
      <c r="AE32" s="19"/>
    </row>
    <row r="33" spans="1:32" x14ac:dyDescent="0.25">
      <c r="A33" s="17">
        <f t="shared" si="2"/>
        <v>21</v>
      </c>
      <c r="B33" s="17"/>
      <c r="C33" s="12" t="s">
        <v>103</v>
      </c>
      <c r="D33" s="16" t="s">
        <v>123</v>
      </c>
      <c r="E33" s="20" t="s">
        <v>32</v>
      </c>
      <c r="F33" s="26">
        <f>'PCIA Inputs'!$D$14</f>
        <v>67.08</v>
      </c>
      <c r="G33" s="26">
        <f>'PCIA Inputs'!$D$14</f>
        <v>67.08</v>
      </c>
      <c r="H33" s="26">
        <f>'PCIA Inputs'!$D$14</f>
        <v>67.08</v>
      </c>
      <c r="I33" s="26">
        <f>'PCIA Inputs'!$D$14</f>
        <v>67.08</v>
      </c>
      <c r="J33" s="26">
        <f>'PCIA Inputs'!$D$14</f>
        <v>67.08</v>
      </c>
      <c r="K33" s="26">
        <f>'PCIA Inputs'!$D$14</f>
        <v>67.08</v>
      </c>
      <c r="L33" s="26">
        <f>'PCIA Inputs'!$D$14</f>
        <v>67.08</v>
      </c>
      <c r="M33" s="26">
        <f>'PCIA Inputs'!$D$14</f>
        <v>67.08</v>
      </c>
      <c r="N33" s="26">
        <f>'PCIA Inputs'!$D$14</f>
        <v>67.08</v>
      </c>
      <c r="O33" s="26">
        <f>'PCIA Inputs'!$D$14</f>
        <v>67.08</v>
      </c>
      <c r="P33" s="26">
        <f>'PCIA Inputs'!$D$14</f>
        <v>67.08</v>
      </c>
      <c r="Q33" s="26">
        <f>'PCIA Inputs'!$D$14</f>
        <v>67.08</v>
      </c>
      <c r="R33" s="26">
        <f>'PCIA Inputs'!$D$14</f>
        <v>67.08</v>
      </c>
      <c r="S33" s="26">
        <f>'PCIA Inputs'!$D$14</f>
        <v>67.08</v>
      </c>
      <c r="T33" s="26">
        <f>'PCIA Inputs'!$D$14</f>
        <v>67.08</v>
      </c>
      <c r="U33" s="26">
        <f>'PCIA Inputs'!$D$14</f>
        <v>67.08</v>
      </c>
      <c r="V33" s="26">
        <f>'PCIA Inputs'!$D$14</f>
        <v>67.08</v>
      </c>
      <c r="W33" s="26">
        <f>'PCIA Inputs'!$D$14</f>
        <v>67.08</v>
      </c>
      <c r="X33" s="26">
        <f>'PCIA Inputs'!$D$14</f>
        <v>67.08</v>
      </c>
      <c r="Y33" s="26">
        <f>'PCIA Inputs'!$D$14</f>
        <v>67.08</v>
      </c>
      <c r="Z33" s="26">
        <f>'PCIA Inputs'!$D$14</f>
        <v>67.08</v>
      </c>
      <c r="AA33" s="26">
        <f>'PCIA Inputs'!$D$14</f>
        <v>67.08</v>
      </c>
      <c r="AB33" s="26">
        <f>'PCIA Inputs'!$D$14</f>
        <v>67.08</v>
      </c>
      <c r="AC33" s="26"/>
      <c r="AD33" s="27"/>
      <c r="AE33" s="19"/>
    </row>
    <row r="34" spans="1:32" x14ac:dyDescent="0.25">
      <c r="A34" s="17">
        <f t="shared" si="2"/>
        <v>22</v>
      </c>
      <c r="B34" s="17"/>
      <c r="C34" s="12" t="s">
        <v>106</v>
      </c>
      <c r="D34" s="119" t="str">
        <f>"Line "&amp;A13</f>
        <v>Line 6</v>
      </c>
      <c r="E34" s="20" t="s">
        <v>20</v>
      </c>
      <c r="F34" s="21">
        <f>F13</f>
        <v>0</v>
      </c>
      <c r="G34" s="21">
        <f t="shared" ref="G34:AB34" si="9">G13</f>
        <v>0</v>
      </c>
      <c r="H34" s="21">
        <f t="shared" si="9"/>
        <v>0</v>
      </c>
      <c r="I34" s="21">
        <f t="shared" si="9"/>
        <v>0</v>
      </c>
      <c r="J34" s="21">
        <f t="shared" si="9"/>
        <v>0</v>
      </c>
      <c r="K34" s="21">
        <f t="shared" si="9"/>
        <v>0</v>
      </c>
      <c r="L34" s="21">
        <f t="shared" si="9"/>
        <v>0</v>
      </c>
      <c r="M34" s="21">
        <f t="shared" si="9"/>
        <v>0</v>
      </c>
      <c r="N34" s="21">
        <f t="shared" si="9"/>
        <v>312.3</v>
      </c>
      <c r="O34" s="21">
        <f t="shared" si="9"/>
        <v>0</v>
      </c>
      <c r="P34" s="21">
        <f t="shared" si="9"/>
        <v>0</v>
      </c>
      <c r="Q34" s="21">
        <f t="shared" si="9"/>
        <v>0</v>
      </c>
      <c r="R34" s="21">
        <f t="shared" si="9"/>
        <v>0</v>
      </c>
      <c r="S34" s="21">
        <f t="shared" si="9"/>
        <v>0</v>
      </c>
      <c r="T34" s="21">
        <f t="shared" si="9"/>
        <v>0</v>
      </c>
      <c r="U34" s="21">
        <f t="shared" si="9"/>
        <v>0</v>
      </c>
      <c r="V34" s="21">
        <f t="shared" si="9"/>
        <v>0</v>
      </c>
      <c r="W34" s="21">
        <f t="shared" si="9"/>
        <v>0</v>
      </c>
      <c r="X34" s="21">
        <f t="shared" si="9"/>
        <v>0</v>
      </c>
      <c r="Y34" s="21">
        <f t="shared" si="9"/>
        <v>0</v>
      </c>
      <c r="Z34" s="21">
        <f t="shared" si="9"/>
        <v>0</v>
      </c>
      <c r="AA34" s="21">
        <f t="shared" si="9"/>
        <v>0</v>
      </c>
      <c r="AB34" s="21">
        <f t="shared" si="9"/>
        <v>0</v>
      </c>
      <c r="AC34" s="26"/>
      <c r="AD34" s="27"/>
      <c r="AE34" s="19"/>
    </row>
    <row r="35" spans="1:32" x14ac:dyDescent="0.25">
      <c r="A35" s="17">
        <f t="shared" si="2"/>
        <v>23</v>
      </c>
      <c r="B35" s="17"/>
      <c r="C35" s="12" t="s">
        <v>104</v>
      </c>
      <c r="D35" s="16" t="s">
        <v>124</v>
      </c>
      <c r="E35" s="20" t="s">
        <v>32</v>
      </c>
      <c r="F35" s="26">
        <f>'PCIA Inputs'!$D$15</f>
        <v>68.28</v>
      </c>
      <c r="G35" s="26">
        <f>'PCIA Inputs'!$D$15</f>
        <v>68.28</v>
      </c>
      <c r="H35" s="26">
        <f>'PCIA Inputs'!$D$15</f>
        <v>68.28</v>
      </c>
      <c r="I35" s="26">
        <f>'PCIA Inputs'!$D$15</f>
        <v>68.28</v>
      </c>
      <c r="J35" s="26">
        <f>'PCIA Inputs'!$D$15</f>
        <v>68.28</v>
      </c>
      <c r="K35" s="26">
        <f>'PCIA Inputs'!$D$15</f>
        <v>68.28</v>
      </c>
      <c r="L35" s="26">
        <f>'PCIA Inputs'!$D$15</f>
        <v>68.28</v>
      </c>
      <c r="M35" s="26">
        <f>'PCIA Inputs'!$D$15</f>
        <v>68.28</v>
      </c>
      <c r="N35" s="26">
        <f>'PCIA Inputs'!$D$15</f>
        <v>68.28</v>
      </c>
      <c r="O35" s="26">
        <f>'PCIA Inputs'!$D$15</f>
        <v>68.28</v>
      </c>
      <c r="P35" s="26">
        <f>'PCIA Inputs'!$D$15</f>
        <v>68.28</v>
      </c>
      <c r="Q35" s="26">
        <f>'PCIA Inputs'!$D$15</f>
        <v>68.28</v>
      </c>
      <c r="R35" s="26">
        <f>'PCIA Inputs'!$D$15</f>
        <v>68.28</v>
      </c>
      <c r="S35" s="26">
        <f>'PCIA Inputs'!$D$15</f>
        <v>68.28</v>
      </c>
      <c r="T35" s="26">
        <f>'PCIA Inputs'!$D$15</f>
        <v>68.28</v>
      </c>
      <c r="U35" s="26">
        <f>'PCIA Inputs'!$D$15</f>
        <v>68.28</v>
      </c>
      <c r="V35" s="26">
        <f>'PCIA Inputs'!$D$15</f>
        <v>68.28</v>
      </c>
      <c r="W35" s="26">
        <f>'PCIA Inputs'!$D$15</f>
        <v>68.28</v>
      </c>
      <c r="X35" s="26">
        <f>'PCIA Inputs'!$D$15</f>
        <v>68.28</v>
      </c>
      <c r="Y35" s="26">
        <f>'PCIA Inputs'!$D$15</f>
        <v>68.28</v>
      </c>
      <c r="Z35" s="26">
        <f>'PCIA Inputs'!$D$15</f>
        <v>68.28</v>
      </c>
      <c r="AA35" s="26">
        <f>'PCIA Inputs'!$D$15</f>
        <v>68.28</v>
      </c>
      <c r="AB35" s="26">
        <f>'PCIA Inputs'!$D$15</f>
        <v>68.28</v>
      </c>
      <c r="AC35" s="26"/>
      <c r="AD35" s="27"/>
      <c r="AE35" s="19"/>
    </row>
    <row r="36" spans="1:32" ht="24" x14ac:dyDescent="0.25">
      <c r="A36" s="17">
        <f t="shared" si="2"/>
        <v>24</v>
      </c>
      <c r="B36" s="17"/>
      <c r="C36" s="13" t="s">
        <v>33</v>
      </c>
      <c r="D36" s="121" t="str">
        <f>"Sum (Lines "&amp;A30&amp;"x"&amp;A31&amp;", "&amp;A32&amp;"x"&amp;A33&amp;", "&amp;A34&amp;"x"&amp;A35&amp;")"</f>
        <v>Sum (Lines 18x19, 20x21, 22x23)</v>
      </c>
      <c r="E36" s="23" t="s">
        <v>18</v>
      </c>
      <c r="F36" s="28">
        <f>SUM(F30*F31,F32*F33,F34*F35)</f>
        <v>5832.2159999999994</v>
      </c>
      <c r="G36" s="28">
        <f>SUM(G30*G31,G32*G33,G34*G35)</f>
        <v>0</v>
      </c>
      <c r="H36" s="28">
        <f t="shared" ref="G36:AB36" si="10">SUM(H30*H31,H32*H33,H34*H35)</f>
        <v>0</v>
      </c>
      <c r="I36" s="28">
        <f t="shared" si="10"/>
        <v>0</v>
      </c>
      <c r="J36" s="28">
        <f t="shared" si="10"/>
        <v>0</v>
      </c>
      <c r="K36" s="28">
        <f t="shared" si="10"/>
        <v>44279.508000000002</v>
      </c>
      <c r="L36" s="28">
        <f t="shared" si="10"/>
        <v>1965.3119999999997</v>
      </c>
      <c r="M36" s="28">
        <f t="shared" si="10"/>
        <v>1328.184</v>
      </c>
      <c r="N36" s="28">
        <f t="shared" si="10"/>
        <v>17048.964</v>
      </c>
      <c r="O36" s="28">
        <f t="shared" si="10"/>
        <v>2951.52</v>
      </c>
      <c r="P36" s="28">
        <f t="shared" si="10"/>
        <v>6580.5479999999998</v>
      </c>
      <c r="Q36" s="28">
        <f t="shared" si="10"/>
        <v>6202.2480000000005</v>
      </c>
      <c r="R36" s="28">
        <f t="shared" si="10"/>
        <v>16971.731399999997</v>
      </c>
      <c r="S36" s="28">
        <f t="shared" si="10"/>
        <v>3539.1101200000003</v>
      </c>
      <c r="T36" s="28">
        <f t="shared" si="10"/>
        <v>376.24799999999999</v>
      </c>
      <c r="U36" s="28">
        <f t="shared" si="10"/>
        <v>165.01679999999999</v>
      </c>
      <c r="V36" s="28">
        <f t="shared" si="10"/>
        <v>0</v>
      </c>
      <c r="W36" s="28">
        <f t="shared" si="10"/>
        <v>0</v>
      </c>
      <c r="X36" s="28">
        <f>SUM(X30*X31,X32*X33,X34*X35)</f>
        <v>0</v>
      </c>
      <c r="Y36" s="28">
        <f t="shared" si="10"/>
        <v>18990.348000000002</v>
      </c>
      <c r="Z36" s="28">
        <f t="shared" si="10"/>
        <v>33137.519999999997</v>
      </c>
      <c r="AA36" s="28">
        <f t="shared" si="10"/>
        <v>0</v>
      </c>
      <c r="AB36" s="28">
        <f t="shared" si="10"/>
        <v>0</v>
      </c>
      <c r="AC36" s="28"/>
      <c r="AD36" s="32"/>
      <c r="AE36" s="19"/>
    </row>
    <row r="37" spans="1:32" x14ac:dyDescent="0.25">
      <c r="A37" s="17"/>
      <c r="B37" s="17"/>
      <c r="E37" s="93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19"/>
      <c r="AD37" s="19"/>
      <c r="AE37" s="19"/>
    </row>
    <row r="38" spans="1:32" x14ac:dyDescent="0.25">
      <c r="A38" s="17">
        <f t="shared" si="2"/>
        <v>25</v>
      </c>
      <c r="B38" s="18" t="s">
        <v>34</v>
      </c>
      <c r="D38" s="122" t="str">
        <f>"Line "&amp;A22&amp;"+ Line "&amp;A27&amp;"+ Line "&amp;A36</f>
        <v>Line 12+ Line 16+ Line 24</v>
      </c>
      <c r="E38" s="20" t="s">
        <v>18</v>
      </c>
      <c r="F38" s="28">
        <f>F22+F27+F36</f>
        <v>10107.367102441689</v>
      </c>
      <c r="G38" s="28">
        <f>G22+G27+G36</f>
        <v>0</v>
      </c>
      <c r="H38" s="28">
        <f t="shared" ref="H38:AA38" si="11">H22+H27+H36</f>
        <v>0</v>
      </c>
      <c r="I38" s="28">
        <f t="shared" si="11"/>
        <v>0</v>
      </c>
      <c r="J38" s="28">
        <f t="shared" si="11"/>
        <v>0</v>
      </c>
      <c r="K38" s="28">
        <f t="shared" si="11"/>
        <v>132843.18067730207</v>
      </c>
      <c r="L38" s="28">
        <f t="shared" si="11"/>
        <v>23522.694353533207</v>
      </c>
      <c r="M38" s="28">
        <f t="shared" si="11"/>
        <v>18537.894984283063</v>
      </c>
      <c r="N38" s="28">
        <f t="shared" si="11"/>
        <v>54156.760535004432</v>
      </c>
      <c r="O38" s="28">
        <f t="shared" si="11"/>
        <v>10129.736338128541</v>
      </c>
      <c r="P38" s="28">
        <f t="shared" si="11"/>
        <v>17573.735391846312</v>
      </c>
      <c r="Q38" s="28">
        <f t="shared" si="11"/>
        <v>47258.006870448051</v>
      </c>
      <c r="R38" s="28">
        <f t="shared" si="11"/>
        <v>147502.12736737309</v>
      </c>
      <c r="S38" s="28">
        <f t="shared" si="11"/>
        <v>55154.680416380026</v>
      </c>
      <c r="T38" s="28">
        <f t="shared" si="11"/>
        <v>5100.703361855336</v>
      </c>
      <c r="U38" s="28">
        <f t="shared" si="11"/>
        <v>1787.0855870311721</v>
      </c>
      <c r="V38" s="28">
        <f t="shared" si="11"/>
        <v>0</v>
      </c>
      <c r="W38" s="28">
        <f t="shared" si="11"/>
        <v>0</v>
      </c>
      <c r="X38" s="28">
        <f t="shared" si="11"/>
        <v>0</v>
      </c>
      <c r="Y38" s="28">
        <f t="shared" si="11"/>
        <v>18990.348000000002</v>
      </c>
      <c r="Z38" s="28">
        <f t="shared" si="11"/>
        <v>33137.519999999997</v>
      </c>
      <c r="AA38" s="28">
        <f t="shared" si="11"/>
        <v>0</v>
      </c>
      <c r="AB38" s="28">
        <f t="shared" ref="AB38" si="12">AB22+AB27+AB36</f>
        <v>0</v>
      </c>
      <c r="AC38" s="28"/>
      <c r="AD38" s="28"/>
      <c r="AE38" s="19"/>
    </row>
    <row r="39" spans="1:32" x14ac:dyDescent="0.25">
      <c r="A39" s="17">
        <f t="shared" si="2"/>
        <v>26</v>
      </c>
      <c r="B39" s="18" t="s">
        <v>35</v>
      </c>
      <c r="D39" s="122" t="str">
        <f>"Line "&amp;A38&amp;" x PCIA Inputs Line 11"</f>
        <v>Line 25 x PCIA Inputs Line 11</v>
      </c>
      <c r="E39" s="20" t="s">
        <v>18</v>
      </c>
      <c r="F39" s="28">
        <f>F38*'PCIA Inputs'!$D$17</f>
        <v>10541.983887846682</v>
      </c>
      <c r="G39" s="28">
        <f>G38*'PCIA Inputs'!$D$17</f>
        <v>0</v>
      </c>
      <c r="H39" s="28">
        <f>H38*'PCIA Inputs'!$D$17</f>
        <v>0</v>
      </c>
      <c r="I39" s="28">
        <f>I38*'PCIA Inputs'!$D$17</f>
        <v>0</v>
      </c>
      <c r="J39" s="28">
        <f>J38*'PCIA Inputs'!$D$17</f>
        <v>0</v>
      </c>
      <c r="K39" s="28">
        <f>K38*'PCIA Inputs'!$D$17</f>
        <v>138555.43744642605</v>
      </c>
      <c r="L39" s="28">
        <f>L38*'PCIA Inputs'!$D$17</f>
        <v>24534.170210735134</v>
      </c>
      <c r="M39" s="28">
        <f>M38*'PCIA Inputs'!$D$17</f>
        <v>19335.024468607233</v>
      </c>
      <c r="N39" s="28">
        <f>N38*'PCIA Inputs'!$D$17</f>
        <v>56485.501238009616</v>
      </c>
      <c r="O39" s="28">
        <f>O38*'PCIA Inputs'!$D$17</f>
        <v>10565.315000668068</v>
      </c>
      <c r="P39" s="28">
        <f>P38*'PCIA Inputs'!$D$17</f>
        <v>18329.406013695701</v>
      </c>
      <c r="Q39" s="28">
        <f>Q38*'PCIA Inputs'!$D$17</f>
        <v>49290.101165877313</v>
      </c>
      <c r="R39" s="28">
        <f>R38*'PCIA Inputs'!$D$17</f>
        <v>153844.71884417013</v>
      </c>
      <c r="S39" s="28">
        <f>S38*'PCIA Inputs'!$D$17</f>
        <v>57526.33167428436</v>
      </c>
      <c r="T39" s="28">
        <f>T38*'PCIA Inputs'!$D$17</f>
        <v>5320.0336064151152</v>
      </c>
      <c r="U39" s="28">
        <f>U38*'PCIA Inputs'!$D$17</f>
        <v>1863.9302672735123</v>
      </c>
      <c r="V39" s="28">
        <f>V38*'PCIA Inputs'!$D$17</f>
        <v>0</v>
      </c>
      <c r="W39" s="28">
        <f>W38*'PCIA Inputs'!$D$17</f>
        <v>0</v>
      </c>
      <c r="X39" s="81">
        <f>X38*'PCIA Inputs'!$D$17</f>
        <v>0</v>
      </c>
      <c r="Y39" s="28">
        <f>Y38*'PCIA Inputs'!$D$17</f>
        <v>19806.932964</v>
      </c>
      <c r="Z39" s="28">
        <f>Z38*'PCIA Inputs'!$D$17</f>
        <v>34562.433359999995</v>
      </c>
      <c r="AA39" s="28">
        <f>AA38*'PCIA Inputs'!$D$17</f>
        <v>0</v>
      </c>
      <c r="AB39" s="28">
        <f>AB38*'PCIA Inputs'!$D$17</f>
        <v>0</v>
      </c>
      <c r="AC39" s="28"/>
      <c r="AD39" s="28"/>
      <c r="AE39" s="19"/>
    </row>
    <row r="40" spans="1:32" x14ac:dyDescent="0.25">
      <c r="A40" s="17"/>
      <c r="B40" s="18"/>
      <c r="E40" s="20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19"/>
    </row>
    <row r="41" spans="1:32" x14ac:dyDescent="0.25">
      <c r="A41" s="17">
        <f>IF(A40=0, A39+1, A40+1)</f>
        <v>27</v>
      </c>
      <c r="B41" s="18" t="s">
        <v>36</v>
      </c>
      <c r="E41" s="20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19"/>
    </row>
    <row r="42" spans="1:32" x14ac:dyDescent="0.25">
      <c r="A42" s="17">
        <f t="shared" si="2"/>
        <v>28</v>
      </c>
      <c r="B42" s="18"/>
      <c r="C42" s="13" t="s">
        <v>37</v>
      </c>
      <c r="D42" s="122" t="str">
        <f>"Line "&amp;A7</f>
        <v>Line 1</v>
      </c>
      <c r="E42" s="20" t="s">
        <v>18</v>
      </c>
      <c r="F42" s="28">
        <f t="shared" ref="F42:AB42" si="13">F7</f>
        <v>21085.682254395368</v>
      </c>
      <c r="G42" s="28">
        <f t="shared" si="13"/>
        <v>1509</v>
      </c>
      <c r="H42" s="28">
        <f t="shared" si="13"/>
        <v>0</v>
      </c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28"/>
      <c r="AD42" s="28"/>
      <c r="AE42" s="19"/>
    </row>
    <row r="43" spans="1:32" x14ac:dyDescent="0.25">
      <c r="A43" s="17">
        <f t="shared" si="2"/>
        <v>29</v>
      </c>
      <c r="B43" s="18"/>
      <c r="C43" s="13" t="s">
        <v>38</v>
      </c>
      <c r="D43" s="122" t="str">
        <f>"Line "&amp;A39</f>
        <v>Line 26</v>
      </c>
      <c r="E43" s="20" t="s">
        <v>18</v>
      </c>
      <c r="F43" s="28">
        <f>F39</f>
        <v>10541.983887846682</v>
      </c>
      <c r="G43" s="28">
        <f>G39</f>
        <v>0</v>
      </c>
      <c r="H43" s="28">
        <f t="shared" ref="H43:AA43" si="14">H39</f>
        <v>0</v>
      </c>
      <c r="I43" s="28">
        <f>I39</f>
        <v>0</v>
      </c>
      <c r="J43" s="28">
        <f t="shared" si="14"/>
        <v>0</v>
      </c>
      <c r="K43" s="28">
        <f t="shared" si="14"/>
        <v>138555.43744642605</v>
      </c>
      <c r="L43" s="28">
        <f t="shared" si="14"/>
        <v>24534.170210735134</v>
      </c>
      <c r="M43" s="28">
        <f t="shared" si="14"/>
        <v>19335.024468607233</v>
      </c>
      <c r="N43" s="28">
        <f t="shared" si="14"/>
        <v>56485.501238009616</v>
      </c>
      <c r="O43" s="28">
        <f t="shared" si="14"/>
        <v>10565.315000668068</v>
      </c>
      <c r="P43" s="28">
        <f t="shared" si="14"/>
        <v>18329.406013695701</v>
      </c>
      <c r="Q43" s="28">
        <f t="shared" si="14"/>
        <v>49290.101165877313</v>
      </c>
      <c r="R43" s="28">
        <f t="shared" si="14"/>
        <v>153844.71884417013</v>
      </c>
      <c r="S43" s="28">
        <f t="shared" si="14"/>
        <v>57526.33167428436</v>
      </c>
      <c r="T43" s="28">
        <f t="shared" si="14"/>
        <v>5320.0336064151152</v>
      </c>
      <c r="U43" s="28">
        <f t="shared" si="14"/>
        <v>1863.9302672735123</v>
      </c>
      <c r="V43" s="28">
        <f t="shared" si="14"/>
        <v>0</v>
      </c>
      <c r="W43" s="28">
        <f t="shared" si="14"/>
        <v>0</v>
      </c>
      <c r="X43" s="28">
        <f t="shared" si="14"/>
        <v>0</v>
      </c>
      <c r="Y43" s="28">
        <f t="shared" si="14"/>
        <v>19806.932964</v>
      </c>
      <c r="Z43" s="28">
        <f t="shared" si="14"/>
        <v>34562.433359999995</v>
      </c>
      <c r="AA43" s="28">
        <f t="shared" si="14"/>
        <v>0</v>
      </c>
      <c r="AB43" s="28">
        <f t="shared" ref="AB43" si="15">AB39</f>
        <v>0</v>
      </c>
      <c r="AC43" s="28"/>
      <c r="AD43" s="28"/>
      <c r="AE43" s="19"/>
    </row>
    <row r="44" spans="1:32" x14ac:dyDescent="0.25">
      <c r="A44" s="17">
        <f t="shared" si="2"/>
        <v>30</v>
      </c>
      <c r="B44" s="13" t="s">
        <v>39</v>
      </c>
      <c r="C44" s="13"/>
      <c r="D44" s="122" t="str">
        <f>"Line "&amp;A42&amp;" - Line "&amp;A43</f>
        <v>Line 28 - Line 29</v>
      </c>
      <c r="E44" s="20" t="s">
        <v>18</v>
      </c>
      <c r="F44" s="28">
        <f>F42-F43</f>
        <v>10543.698366548686</v>
      </c>
      <c r="G44" s="28">
        <f>G42-G43</f>
        <v>1509</v>
      </c>
      <c r="H44" s="28">
        <f t="shared" ref="H44:P44" si="16">H42-H43</f>
        <v>0</v>
      </c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28"/>
      <c r="AD44" s="28"/>
      <c r="AE44" s="90"/>
      <c r="AF44" s="90"/>
    </row>
    <row r="45" spans="1:32" x14ac:dyDescent="0.25">
      <c r="A45" s="17"/>
      <c r="AE45" s="90"/>
    </row>
    <row r="46" spans="1:32" x14ac:dyDescent="0.25">
      <c r="A46" s="17">
        <f t="shared" si="2"/>
        <v>31</v>
      </c>
      <c r="B46" s="13" t="s">
        <v>131</v>
      </c>
      <c r="D46" s="49" t="s">
        <v>49</v>
      </c>
      <c r="E46" s="20" t="s">
        <v>18</v>
      </c>
      <c r="F46" s="37">
        <v>0</v>
      </c>
      <c r="G46" s="37">
        <v>0</v>
      </c>
      <c r="H46" s="37">
        <v>0</v>
      </c>
      <c r="I46" s="37">
        <v>-2307.9226563349621</v>
      </c>
      <c r="J46" s="37">
        <v>0</v>
      </c>
      <c r="K46" s="37">
        <v>5988.8413932927288</v>
      </c>
      <c r="L46" s="37">
        <v>2743.3484124788856</v>
      </c>
      <c r="M46" s="37">
        <v>12157.968124433606</v>
      </c>
      <c r="N46" s="37">
        <v>-4135.9050277269853</v>
      </c>
      <c r="O46" s="37">
        <v>2229.2320300779484</v>
      </c>
      <c r="P46" s="37">
        <v>1767.75617872371</v>
      </c>
      <c r="Q46" s="37">
        <v>32625.584019625319</v>
      </c>
      <c r="R46" s="37">
        <v>69248.309746656159</v>
      </c>
      <c r="S46" s="37">
        <v>2767.4431919831222</v>
      </c>
      <c r="T46" s="37">
        <v>-1499.7711698133712</v>
      </c>
      <c r="U46" s="37">
        <v>84.016983238126159</v>
      </c>
      <c r="V46" s="37">
        <v>434.407168453944</v>
      </c>
      <c r="W46" s="37">
        <v>0</v>
      </c>
      <c r="X46" s="37">
        <v>2171.5343565957619</v>
      </c>
      <c r="Y46" s="37">
        <v>19670.281046438351</v>
      </c>
      <c r="Z46" s="37">
        <v>-4224.6000700357608</v>
      </c>
      <c r="AA46" s="37">
        <v>-17392.538748824067</v>
      </c>
      <c r="AB46" s="37">
        <v>0</v>
      </c>
      <c r="AC46" s="28"/>
      <c r="AD46" s="28"/>
      <c r="AE46" s="113"/>
    </row>
    <row r="47" spans="1:32" x14ac:dyDescent="0.25">
      <c r="A47" s="17"/>
      <c r="B47" s="13"/>
      <c r="D47" s="49"/>
      <c r="E47" s="20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4"/>
      <c r="AD47" s="19"/>
      <c r="AE47" s="19"/>
    </row>
    <row r="48" spans="1:32" x14ac:dyDescent="0.25">
      <c r="A48" s="17">
        <f>IF(A47=0,A46+ 1, A47+1)</f>
        <v>32</v>
      </c>
      <c r="B48" s="13" t="s">
        <v>128</v>
      </c>
      <c r="D48" s="49"/>
      <c r="E48" s="20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28"/>
      <c r="AD48" s="19"/>
      <c r="AE48" s="19"/>
    </row>
    <row r="49" spans="1:31" ht="12.75" customHeight="1" x14ac:dyDescent="0.25">
      <c r="A49" s="17">
        <f t="shared" si="2"/>
        <v>33</v>
      </c>
      <c r="B49" s="13" t="s">
        <v>129</v>
      </c>
      <c r="D49" s="123" t="str">
        <f>"Sum (Lines "&amp;A44&amp;":"&amp;A46&amp;")"</f>
        <v>Sum (Lines 30:31)</v>
      </c>
      <c r="E49" s="20" t="s">
        <v>18</v>
      </c>
      <c r="F49" s="35">
        <f>SUM(F44:F46)</f>
        <v>10543.698366548686</v>
      </c>
      <c r="G49" s="35">
        <f t="shared" ref="G49:AA49" si="17">SUM(G44:G48)</f>
        <v>1509</v>
      </c>
      <c r="H49" s="35">
        <f t="shared" si="17"/>
        <v>0</v>
      </c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28"/>
      <c r="AD49" s="112"/>
      <c r="AE49" s="90"/>
    </row>
    <row r="50" spans="1:31" x14ac:dyDescent="0.25">
      <c r="A50" s="17">
        <f t="shared" si="2"/>
        <v>34</v>
      </c>
      <c r="B50" s="13" t="s">
        <v>130</v>
      </c>
      <c r="D50" s="123" t="str">
        <f>"Line "&amp;A49&amp;" x PCIA Inputs Line 12"</f>
        <v>Line 33 x PCIA Inputs Line 12</v>
      </c>
      <c r="E50" s="20" t="s">
        <v>18</v>
      </c>
      <c r="F50" s="35">
        <f>F49*'PCIA Inputs'!$D$19</f>
        <v>10671.620841350674</v>
      </c>
      <c r="G50" s="35">
        <f>G49*'PCIA Inputs'!$D$19</f>
        <v>1527.3080934</v>
      </c>
      <c r="H50" s="35">
        <f>H49*'PCIA Inputs'!$D$19</f>
        <v>0</v>
      </c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34"/>
      <c r="AD50" s="113"/>
      <c r="AE50" s="90"/>
    </row>
    <row r="51" spans="1:31" x14ac:dyDescent="0.25">
      <c r="A51" s="17"/>
    </row>
    <row r="52" spans="1:31" x14ac:dyDescent="0.25">
      <c r="A52" s="17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A01C8-77F3-467A-A1D1-AEA8878AD7F6}">
  <sheetPr>
    <pageSetUpPr fitToPage="1"/>
  </sheetPr>
  <dimension ref="A1:X49"/>
  <sheetViews>
    <sheetView workbookViewId="0">
      <pane xSplit="4" ySplit="4" topLeftCell="E5" activePane="bottomRight" state="frozen"/>
      <selection activeCell="D37" sqref="D37"/>
      <selection pane="topRight" activeCell="D37" sqref="D37"/>
      <selection pane="bottomLeft" activeCell="D37" sqref="D37"/>
      <selection pane="bottomRight" activeCell="A2" sqref="A2:X2"/>
    </sheetView>
  </sheetViews>
  <sheetFormatPr defaultColWidth="9.21875" defaultRowHeight="15.6" x14ac:dyDescent="0.3"/>
  <cols>
    <col min="1" max="1" width="23.44140625" style="38" customWidth="1"/>
    <col min="2" max="2" width="25.77734375" style="38" customWidth="1"/>
    <col min="3" max="3" width="13" style="38" customWidth="1"/>
    <col min="4" max="10" width="14.5546875" style="38" customWidth="1"/>
    <col min="11" max="21" width="14.5546875" style="38" bestFit="1" customWidth="1"/>
    <col min="22" max="22" width="13.77734375" style="38" customWidth="1"/>
    <col min="23" max="23" width="11.5546875" style="38" bestFit="1" customWidth="1"/>
    <col min="24" max="24" width="12.21875" style="38" customWidth="1"/>
    <col min="25" max="16384" width="9.21875" style="38"/>
  </cols>
  <sheetData>
    <row r="1" spans="1:24" x14ac:dyDescent="0.3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2" spans="1:24" x14ac:dyDescent="0.3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x14ac:dyDescent="0.3">
      <c r="C3" s="131" t="s">
        <v>84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</row>
    <row r="4" spans="1:24" ht="31.2" x14ac:dyDescent="0.3">
      <c r="A4" s="39" t="s">
        <v>40</v>
      </c>
      <c r="B4" s="108" t="s">
        <v>92</v>
      </c>
      <c r="C4" s="66" t="s">
        <v>41</v>
      </c>
      <c r="D4" s="64" t="s">
        <v>91</v>
      </c>
      <c r="E4" s="66">
        <v>2002</v>
      </c>
      <c r="F4" s="66">
        <v>2003</v>
      </c>
      <c r="G4" s="66">
        <v>2004</v>
      </c>
      <c r="H4" s="66">
        <v>2005</v>
      </c>
      <c r="I4" s="66">
        <v>2006</v>
      </c>
      <c r="J4" s="66">
        <v>2007</v>
      </c>
      <c r="K4" s="66">
        <v>2008</v>
      </c>
      <c r="L4" s="66">
        <v>2009</v>
      </c>
      <c r="M4" s="66">
        <v>2010</v>
      </c>
      <c r="N4" s="66">
        <v>2011</v>
      </c>
      <c r="O4" s="66">
        <v>2012</v>
      </c>
      <c r="P4" s="66">
        <v>2013</v>
      </c>
      <c r="Q4" s="66">
        <v>2014</v>
      </c>
      <c r="R4" s="66">
        <v>2015</v>
      </c>
      <c r="S4" s="66">
        <v>2016</v>
      </c>
      <c r="T4" s="66">
        <v>2017</v>
      </c>
      <c r="U4" s="66">
        <v>2018</v>
      </c>
      <c r="V4" s="66">
        <v>2019</v>
      </c>
      <c r="W4" s="66">
        <f>+V4+1</f>
        <v>2020</v>
      </c>
      <c r="X4" s="66">
        <f>+W4+1</f>
        <v>2021</v>
      </c>
    </row>
    <row r="5" spans="1:24" ht="31.2" x14ac:dyDescent="0.3">
      <c r="A5" s="39" t="s">
        <v>85</v>
      </c>
      <c r="B5" s="109"/>
      <c r="C5" s="40">
        <f>'Indifference Amount Calc'!F50</f>
        <v>10671.620841350674</v>
      </c>
      <c r="D5" s="40">
        <f>'Indifference Amount Calc'!H50+'Indifference Amount Calc'!G50</f>
        <v>1527.3080934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1:24" x14ac:dyDescent="0.3">
      <c r="A6" s="41" t="s">
        <v>43</v>
      </c>
      <c r="B6" s="110">
        <v>0.42829805435073137</v>
      </c>
      <c r="C6" s="43">
        <f t="shared" ref="C6:C11" si="0">B6*C$5</f>
        <v>4570.6344431192083</v>
      </c>
      <c r="D6" s="43">
        <f t="shared" ref="D6:S11" si="1">$B6*D$5</f>
        <v>654.14308479734507</v>
      </c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1:24" x14ac:dyDescent="0.3">
      <c r="A7" s="41" t="s">
        <v>44</v>
      </c>
      <c r="B7" s="110">
        <v>0.13271428239502228</v>
      </c>
      <c r="C7" s="43">
        <f t="shared" si="0"/>
        <v>1416.2765019516187</v>
      </c>
      <c r="D7" s="43">
        <f t="shared" si="1"/>
        <v>202.69559761169066</v>
      </c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</row>
    <row r="8" spans="1:24" x14ac:dyDescent="0.3">
      <c r="A8" s="41" t="s">
        <v>45</v>
      </c>
      <c r="B8" s="110">
        <v>0.42030832470214263</v>
      </c>
      <c r="C8" s="43">
        <f t="shared" si="0"/>
        <v>4485.3710776845719</v>
      </c>
      <c r="D8" s="43">
        <f t="shared" si="1"/>
        <v>641.94030604097759</v>
      </c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</row>
    <row r="9" spans="1:24" x14ac:dyDescent="0.3">
      <c r="A9" s="41" t="s">
        <v>46</v>
      </c>
      <c r="B9" s="110">
        <v>1.4992320849857636E-2</v>
      </c>
      <c r="C9" s="43">
        <f t="shared" si="0"/>
        <v>159.99236364155698</v>
      </c>
      <c r="D9" s="43">
        <f t="shared" si="1"/>
        <v>22.897892972837134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</row>
    <row r="10" spans="1:24" x14ac:dyDescent="0.3">
      <c r="A10" s="41" t="s">
        <v>47</v>
      </c>
      <c r="B10" s="110">
        <v>3.6870177022459631E-3</v>
      </c>
      <c r="C10" s="43">
        <f t="shared" si="0"/>
        <v>39.346454953716893</v>
      </c>
      <c r="D10" s="43">
        <f t="shared" si="1"/>
        <v>5.6312119771493307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</row>
    <row r="11" spans="1:24" x14ac:dyDescent="0.3">
      <c r="A11" s="41" t="s">
        <v>90</v>
      </c>
      <c r="B11" s="110">
        <f>SUM(B6:B10)</f>
        <v>1</v>
      </c>
      <c r="C11" s="43">
        <f t="shared" si="0"/>
        <v>10671.620841350674</v>
      </c>
      <c r="D11" s="43">
        <f t="shared" si="1"/>
        <v>1527.3080934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spans="1:24" x14ac:dyDescent="0.3">
      <c r="A12" s="53"/>
      <c r="B12" s="75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5" spans="1:24" x14ac:dyDescent="0.3">
      <c r="C15" s="131" t="s">
        <v>116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</row>
    <row r="16" spans="1:24" ht="31.2" x14ac:dyDescent="0.3">
      <c r="A16" s="39" t="s">
        <v>40</v>
      </c>
      <c r="B16" s="66" t="s">
        <v>111</v>
      </c>
      <c r="C16" s="66" t="s">
        <v>88</v>
      </c>
      <c r="D16" s="64" t="s">
        <v>91</v>
      </c>
      <c r="E16" s="66">
        <v>2002</v>
      </c>
      <c r="F16" s="66">
        <v>2003</v>
      </c>
      <c r="G16" s="66">
        <v>2004</v>
      </c>
      <c r="H16" s="66">
        <v>2005</v>
      </c>
      <c r="I16" s="66">
        <v>2006</v>
      </c>
      <c r="J16" s="66">
        <v>2007</v>
      </c>
      <c r="K16" s="66">
        <v>2008</v>
      </c>
      <c r="L16" s="66">
        <v>2009</v>
      </c>
      <c r="M16" s="66">
        <v>2010</v>
      </c>
      <c r="N16" s="66">
        <v>2011</v>
      </c>
      <c r="O16" s="66">
        <v>2012</v>
      </c>
      <c r="P16" s="66">
        <v>2013</v>
      </c>
      <c r="Q16" s="66">
        <v>2014</v>
      </c>
      <c r="R16" s="66">
        <v>2015</v>
      </c>
      <c r="S16" s="66">
        <v>2016</v>
      </c>
      <c r="T16" s="66">
        <v>2017</v>
      </c>
      <c r="U16" s="66">
        <v>2018</v>
      </c>
      <c r="V16" s="66">
        <v>2019</v>
      </c>
      <c r="W16" s="66">
        <f>+W4</f>
        <v>2020</v>
      </c>
      <c r="X16" s="66">
        <f>+X4</f>
        <v>2021</v>
      </c>
    </row>
    <row r="17" spans="1:24" x14ac:dyDescent="0.3">
      <c r="A17" s="41" t="s">
        <v>43</v>
      </c>
      <c r="B17" s="75">
        <v>6104.9625120000055</v>
      </c>
      <c r="C17" s="76">
        <f>B17</f>
        <v>6104.9625120000055</v>
      </c>
      <c r="D17" s="75">
        <v>6104.962512000001</v>
      </c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</row>
    <row r="18" spans="1:24" x14ac:dyDescent="0.3">
      <c r="A18" s="41" t="s">
        <v>44</v>
      </c>
      <c r="B18" s="75">
        <v>2262.4466040000002</v>
      </c>
      <c r="C18" s="76">
        <f t="shared" ref="C18:C21" si="2">B18</f>
        <v>2262.4466040000002</v>
      </c>
      <c r="D18" s="75">
        <v>2262.4466040000007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</row>
    <row r="19" spans="1:24" x14ac:dyDescent="0.3">
      <c r="A19" s="41" t="s">
        <v>45</v>
      </c>
      <c r="B19" s="75">
        <v>9440.6648659999937</v>
      </c>
      <c r="C19" s="76">
        <f t="shared" si="2"/>
        <v>9440.6648659999937</v>
      </c>
      <c r="D19" s="75">
        <v>9440.6648659999992</v>
      </c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</row>
    <row r="20" spans="1:24" x14ac:dyDescent="0.3">
      <c r="A20" s="41" t="s">
        <v>46</v>
      </c>
      <c r="B20" s="75">
        <v>322.65922499999999</v>
      </c>
      <c r="C20" s="76">
        <f t="shared" si="2"/>
        <v>322.65922499999999</v>
      </c>
      <c r="D20" s="75">
        <v>322.65922499999999</v>
      </c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</row>
    <row r="21" spans="1:24" x14ac:dyDescent="0.3">
      <c r="A21" s="41" t="s">
        <v>47</v>
      </c>
      <c r="B21" s="75">
        <v>79.987054999999998</v>
      </c>
      <c r="C21" s="76">
        <f t="shared" si="2"/>
        <v>79.987054999999998</v>
      </c>
      <c r="D21" s="75">
        <v>79.987055000000012</v>
      </c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</row>
    <row r="22" spans="1:24" x14ac:dyDescent="0.3">
      <c r="A22" s="41" t="s">
        <v>89</v>
      </c>
      <c r="B22" s="75">
        <f t="shared" ref="B22:K22" si="3">SUM(B17:B21)</f>
        <v>18210.720262000003</v>
      </c>
      <c r="C22" s="76">
        <f t="shared" si="3"/>
        <v>18210.720262000003</v>
      </c>
      <c r="D22" s="75">
        <f t="shared" si="3"/>
        <v>18210.720262000003</v>
      </c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</row>
    <row r="23" spans="1:24" x14ac:dyDescent="0.3">
      <c r="A23" s="53"/>
      <c r="B23" s="75"/>
      <c r="C23" s="42"/>
      <c r="D23" s="43"/>
      <c r="E23" s="43"/>
      <c r="F23" s="43"/>
      <c r="G23" s="47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5" spans="1:24" x14ac:dyDescent="0.3">
      <c r="C25" s="131" t="s">
        <v>87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</row>
    <row r="26" spans="1:24" s="39" customFormat="1" ht="31.2" x14ac:dyDescent="0.3">
      <c r="B26" s="39" t="s">
        <v>40</v>
      </c>
      <c r="C26" s="66" t="s">
        <v>42</v>
      </c>
      <c r="D26" s="64" t="s">
        <v>91</v>
      </c>
      <c r="E26" s="66">
        <v>2002</v>
      </c>
      <c r="F26" s="66">
        <v>2003</v>
      </c>
      <c r="G26" s="66">
        <v>2004</v>
      </c>
      <c r="H26" s="66">
        <v>2005</v>
      </c>
      <c r="I26" s="66">
        <v>2006</v>
      </c>
      <c r="J26" s="66">
        <v>2007</v>
      </c>
      <c r="K26" s="66">
        <v>2008</v>
      </c>
      <c r="L26" s="66">
        <v>2009</v>
      </c>
      <c r="M26" s="66">
        <v>2010</v>
      </c>
      <c r="N26" s="66">
        <v>2011</v>
      </c>
      <c r="O26" s="66">
        <v>2012</v>
      </c>
      <c r="P26" s="66">
        <v>2013</v>
      </c>
      <c r="Q26" s="66">
        <v>2014</v>
      </c>
      <c r="R26" s="66">
        <v>2015</v>
      </c>
      <c r="S26" s="66">
        <v>2016</v>
      </c>
      <c r="T26" s="66">
        <v>2017</v>
      </c>
      <c r="U26" s="66">
        <v>2018</v>
      </c>
      <c r="V26" s="66">
        <v>2019</v>
      </c>
      <c r="W26" s="66">
        <f>+W4</f>
        <v>2020</v>
      </c>
      <c r="X26" s="66">
        <f>+X4</f>
        <v>2021</v>
      </c>
    </row>
    <row r="27" spans="1:24" x14ac:dyDescent="0.3">
      <c r="B27" s="41" t="s">
        <v>43</v>
      </c>
      <c r="C27" s="65">
        <f t="shared" ref="C27:X27" si="4">ROUND(C6/C17,5)/1000</f>
        <v>7.4868000000000005E-4</v>
      </c>
      <c r="D27" s="65">
        <f t="shared" si="4"/>
        <v>1.0714999999999999E-4</v>
      </c>
      <c r="E27" s="65">
        <v>-1.6411E-4</v>
      </c>
      <c r="F27" s="65">
        <v>0</v>
      </c>
      <c r="G27" s="65">
        <v>5.6844E-3</v>
      </c>
      <c r="H27" s="65">
        <v>1.19378E-3</v>
      </c>
      <c r="I27" s="65">
        <v>2.3760700000000001E-3</v>
      </c>
      <c r="J27" s="65">
        <v>-2.5134000000000002E-4</v>
      </c>
      <c r="K27" s="65">
        <v>1.1496E-3</v>
      </c>
      <c r="L27" s="65">
        <v>2.3154E-3</v>
      </c>
      <c r="M27" s="65">
        <v>6.4577499999999999E-3</v>
      </c>
      <c r="N27" s="65">
        <v>1.6060189999999998E-2</v>
      </c>
      <c r="O27" s="65">
        <v>3.3431400000000001E-3</v>
      </c>
      <c r="P27" s="65">
        <v>-8.509E-5</v>
      </c>
      <c r="Q27" s="65">
        <v>8.967E-5</v>
      </c>
      <c r="R27" s="65">
        <v>3.0890000000000004E-5</v>
      </c>
      <c r="S27" s="65">
        <v>0</v>
      </c>
      <c r="T27" s="65">
        <v>1.5440999999999998E-4</v>
      </c>
      <c r="U27" s="65">
        <v>1.5759000000000001E-3</v>
      </c>
      <c r="V27" s="65">
        <v>-7.5496999999999999E-4</v>
      </c>
      <c r="W27" s="65">
        <v>-1.2436599999999999E-3</v>
      </c>
      <c r="X27" s="65">
        <v>0</v>
      </c>
    </row>
    <row r="28" spans="1:24" x14ac:dyDescent="0.3">
      <c r="B28" s="41" t="s">
        <v>44</v>
      </c>
      <c r="C28" s="65">
        <f t="shared" ref="C28:W28" si="5">ROUND(C7/C18,5)/1000</f>
        <v>6.259900000000001E-4</v>
      </c>
      <c r="D28" s="65">
        <f t="shared" si="5"/>
        <v>8.9590000000000001E-5</v>
      </c>
      <c r="E28" s="65">
        <v>-1.3760000000000001E-4</v>
      </c>
      <c r="F28" s="65">
        <v>0</v>
      </c>
      <c r="G28" s="65">
        <v>4.76605E-3</v>
      </c>
      <c r="H28" s="65">
        <v>1.00092E-3</v>
      </c>
      <c r="I28" s="65">
        <v>1.9922E-3</v>
      </c>
      <c r="J28" s="65">
        <v>-2.1073000000000001E-4</v>
      </c>
      <c r="K28" s="65">
        <v>9.6387000000000003E-4</v>
      </c>
      <c r="L28" s="65">
        <v>1.94133E-3</v>
      </c>
      <c r="M28" s="65">
        <v>5.41596E-3</v>
      </c>
      <c r="N28" s="65">
        <v>1.3508850000000001E-2</v>
      </c>
      <c r="O28" s="65">
        <v>2.8166600000000003E-3</v>
      </c>
      <c r="P28" s="65">
        <v>-7.169E-5</v>
      </c>
      <c r="Q28" s="65">
        <v>7.5550000000000007E-5</v>
      </c>
      <c r="R28" s="65">
        <v>2.603E-5</v>
      </c>
      <c r="S28" s="65">
        <v>0</v>
      </c>
      <c r="T28" s="65">
        <v>1.3042000000000002E-4</v>
      </c>
      <c r="U28" s="65">
        <v>1.3321299999999999E-3</v>
      </c>
      <c r="V28" s="65">
        <v>-6.3892000000000007E-4</v>
      </c>
      <c r="W28" s="65">
        <v>-1.05247E-3</v>
      </c>
      <c r="X28" s="65">
        <v>0</v>
      </c>
    </row>
    <row r="29" spans="1:24" x14ac:dyDescent="0.3">
      <c r="B29" s="41" t="s">
        <v>45</v>
      </c>
      <c r="C29" s="65">
        <f t="shared" ref="C29:W29" si="6">ROUND(C8/C19,5)/1000</f>
        <v>4.7511E-4</v>
      </c>
      <c r="D29" s="65">
        <f t="shared" si="6"/>
        <v>6.7999999999999999E-5</v>
      </c>
      <c r="E29" s="65">
        <v>-1.4743000000000002E-4</v>
      </c>
      <c r="F29" s="65">
        <v>0</v>
      </c>
      <c r="G29" s="65">
        <v>5.10678E-3</v>
      </c>
      <c r="H29" s="65">
        <v>1.07248E-3</v>
      </c>
      <c r="I29" s="65">
        <v>2.1346199999999998E-3</v>
      </c>
      <c r="J29" s="65">
        <v>-2.2580000000000001E-4</v>
      </c>
      <c r="K29" s="65">
        <v>1.0327800000000001E-3</v>
      </c>
      <c r="L29" s="65">
        <v>2.08012E-3</v>
      </c>
      <c r="M29" s="65">
        <v>5.9468100000000003E-3</v>
      </c>
      <c r="N29" s="65">
        <v>1.538278E-2</v>
      </c>
      <c r="O29" s="65">
        <v>3.2891700000000001E-3</v>
      </c>
      <c r="P29" s="65">
        <v>-8.3750000000000003E-5</v>
      </c>
      <c r="Q29" s="65">
        <v>8.8259999999999999E-5</v>
      </c>
      <c r="R29" s="65">
        <v>3.04E-5</v>
      </c>
      <c r="S29" s="65">
        <v>0</v>
      </c>
      <c r="T29" s="65">
        <v>1.5576000000000001E-4</v>
      </c>
      <c r="U29" s="65">
        <v>1.64153E-3</v>
      </c>
      <c r="V29" s="65">
        <v>-8.1882999999999999E-4</v>
      </c>
      <c r="W29" s="65">
        <v>-1.34884E-3</v>
      </c>
      <c r="X29" s="65">
        <v>0</v>
      </c>
    </row>
    <row r="30" spans="1:24" x14ac:dyDescent="0.3">
      <c r="B30" s="41" t="s">
        <v>46</v>
      </c>
      <c r="C30" s="65">
        <f t="shared" ref="C30:W30" si="7">ROUND(C9/C20,5)/1000</f>
        <v>4.9585999999999999E-4</v>
      </c>
      <c r="D30" s="65">
        <f t="shared" si="7"/>
        <v>7.0970000000000007E-5</v>
      </c>
      <c r="E30" s="65">
        <v>-1.1292000000000001E-4</v>
      </c>
      <c r="F30" s="65">
        <v>0</v>
      </c>
      <c r="G30" s="65">
        <v>3.9112299999999999E-3</v>
      </c>
      <c r="H30" s="65">
        <v>8.2140000000000002E-4</v>
      </c>
      <c r="I30" s="65">
        <v>1.63489E-3</v>
      </c>
      <c r="J30" s="65">
        <v>-1.7293000000000001E-4</v>
      </c>
      <c r="K30" s="65">
        <v>7.9100000000000004E-4</v>
      </c>
      <c r="L30" s="65">
        <v>1.5931400000000001E-3</v>
      </c>
      <c r="M30" s="65">
        <v>4.4434500000000007E-3</v>
      </c>
      <c r="N30" s="65">
        <v>1.14866E-2</v>
      </c>
      <c r="O30" s="65">
        <v>2.3910900000000002E-3</v>
      </c>
      <c r="P30" s="65">
        <v>-6.0859999999999997E-5</v>
      </c>
      <c r="Q30" s="65">
        <v>6.4130000000000011E-5</v>
      </c>
      <c r="R30" s="65">
        <v>2.2089999999999997E-5</v>
      </c>
      <c r="S30" s="65">
        <v>0</v>
      </c>
      <c r="T30" s="65">
        <v>1.1043999999999999E-4</v>
      </c>
      <c r="U30" s="65">
        <v>1.1312800000000001E-3</v>
      </c>
      <c r="V30" s="65">
        <v>-5.4196999999999991E-4</v>
      </c>
      <c r="W30" s="65">
        <v>-8.9276999999999998E-4</v>
      </c>
      <c r="X30" s="65">
        <v>0</v>
      </c>
    </row>
    <row r="31" spans="1:24" x14ac:dyDescent="0.3">
      <c r="B31" s="41" t="s">
        <v>47</v>
      </c>
      <c r="C31" s="65">
        <f t="shared" ref="C31:W31" si="8">ROUND(C10/C21,5)/1000</f>
        <v>4.9191000000000003E-4</v>
      </c>
      <c r="D31" s="65">
        <f t="shared" si="8"/>
        <v>7.0400000000000004E-5</v>
      </c>
      <c r="E31" s="65">
        <v>-1.0789E-4</v>
      </c>
      <c r="F31" s="65">
        <v>0</v>
      </c>
      <c r="G31" s="65">
        <v>3.7372299999999998E-3</v>
      </c>
      <c r="H31" s="65">
        <v>7.8485999999999996E-4</v>
      </c>
      <c r="I31" s="65">
        <v>1.5621599999999999E-3</v>
      </c>
      <c r="J31" s="65">
        <v>-1.6524000000000001E-4</v>
      </c>
      <c r="K31" s="65">
        <v>7.5580999999999999E-4</v>
      </c>
      <c r="L31" s="65">
        <v>1.52227E-3</v>
      </c>
      <c r="M31" s="65">
        <v>4.24567E-3</v>
      </c>
      <c r="N31" s="65">
        <v>1.055883E-2</v>
      </c>
      <c r="O31" s="65">
        <v>2.20024E-3</v>
      </c>
      <c r="P31" s="65">
        <v>-5.5999999999999999E-5</v>
      </c>
      <c r="Q31" s="65">
        <v>5.9009999999999999E-5</v>
      </c>
      <c r="R31" s="65">
        <v>2.033E-5</v>
      </c>
      <c r="S31" s="65">
        <v>0</v>
      </c>
      <c r="T31" s="65">
        <v>1.0163E-4</v>
      </c>
      <c r="U31" s="65">
        <v>1.0342700000000001E-3</v>
      </c>
      <c r="V31" s="65">
        <v>-4.9558000000000002E-4</v>
      </c>
      <c r="W31" s="65">
        <v>-8.1634999999999997E-4</v>
      </c>
      <c r="X31" s="65">
        <v>0</v>
      </c>
    </row>
    <row r="32" spans="1:24" x14ac:dyDescent="0.3">
      <c r="B32" s="41" t="s">
        <v>48</v>
      </c>
      <c r="C32" s="65">
        <f t="shared" ref="C32:W32" si="9">ROUND(C11/C22,5)/1000</f>
        <v>5.8600999999999998E-4</v>
      </c>
      <c r="D32" s="65">
        <f t="shared" si="9"/>
        <v>8.3869999999999995E-5</v>
      </c>
      <c r="E32" s="65">
        <v>-1.517E-4</v>
      </c>
      <c r="F32" s="65">
        <v>0</v>
      </c>
      <c r="G32" s="65">
        <v>5.25443E-3</v>
      </c>
      <c r="H32" s="65">
        <v>1.1034900000000002E-3</v>
      </c>
      <c r="I32" s="65">
        <v>2.1963400000000002E-3</v>
      </c>
      <c r="J32" s="65">
        <v>-2.3232E-4</v>
      </c>
      <c r="K32" s="65">
        <v>1.0626400000000001E-3</v>
      </c>
      <c r="L32" s="65">
        <v>2.1402600000000002E-3</v>
      </c>
      <c r="M32" s="65">
        <v>6.0332600000000004E-3</v>
      </c>
      <c r="N32" s="65">
        <v>1.527411E-2</v>
      </c>
      <c r="O32" s="65">
        <v>3.2158299999999998E-3</v>
      </c>
      <c r="P32" s="65">
        <v>-8.1860000000000006E-5</v>
      </c>
      <c r="Q32" s="65">
        <v>8.6269999999999999E-5</v>
      </c>
      <c r="R32" s="65">
        <v>2.972E-5</v>
      </c>
      <c r="S32" s="65">
        <v>0</v>
      </c>
      <c r="T32" s="65">
        <v>1.5010999999999998E-4</v>
      </c>
      <c r="U32" s="65">
        <v>1.55215E-3</v>
      </c>
      <c r="V32" s="65">
        <v>-7.5561999999999992E-4</v>
      </c>
      <c r="W32" s="65">
        <v>-1.24471E-3</v>
      </c>
      <c r="X32" s="65">
        <v>0</v>
      </c>
    </row>
    <row r="33" spans="1:24" x14ac:dyDescent="0.3">
      <c r="A33" s="41"/>
      <c r="B33" s="75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5" spans="1:24" ht="15.75" customHeight="1" x14ac:dyDescent="0.3">
      <c r="C35" s="131" t="s">
        <v>110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</row>
    <row r="36" spans="1:24" x14ac:dyDescent="0.3">
      <c r="B36" s="39" t="s">
        <v>40</v>
      </c>
      <c r="C36" s="66" t="s">
        <v>17</v>
      </c>
      <c r="D36" s="66">
        <v>2001</v>
      </c>
      <c r="E36" s="66">
        <v>2002</v>
      </c>
      <c r="F36" s="66">
        <v>2003</v>
      </c>
      <c r="G36" s="66">
        <v>2004</v>
      </c>
      <c r="H36" s="66">
        <v>2005</v>
      </c>
      <c r="I36" s="66">
        <v>2006</v>
      </c>
      <c r="J36" s="66">
        <v>2007</v>
      </c>
      <c r="K36" s="66">
        <v>2008</v>
      </c>
      <c r="L36" s="66">
        <v>2009</v>
      </c>
      <c r="M36" s="66">
        <v>2010</v>
      </c>
      <c r="N36" s="66">
        <v>2011</v>
      </c>
      <c r="O36" s="66">
        <v>2012</v>
      </c>
      <c r="P36" s="66">
        <v>2013</v>
      </c>
      <c r="Q36" s="66">
        <v>2014</v>
      </c>
      <c r="R36" s="66">
        <v>2015</v>
      </c>
      <c r="S36" s="66">
        <v>2016</v>
      </c>
      <c r="T36" s="66">
        <v>2017</v>
      </c>
      <c r="U36" s="66">
        <v>2018</v>
      </c>
      <c r="V36" s="66">
        <v>2019</v>
      </c>
      <c r="W36" s="66">
        <f>+W4</f>
        <v>2020</v>
      </c>
      <c r="X36" s="66">
        <f>+X4</f>
        <v>2021</v>
      </c>
    </row>
    <row r="37" spans="1:24" x14ac:dyDescent="0.3">
      <c r="B37" s="41" t="s">
        <v>43</v>
      </c>
      <c r="C37" s="46">
        <f>C27</f>
        <v>7.4868000000000005E-4</v>
      </c>
      <c r="D37" s="47">
        <f>D27</f>
        <v>1.0714999999999999E-4</v>
      </c>
      <c r="E37" s="46">
        <f>SUM($D27:E27)</f>
        <v>-5.696000000000001E-5</v>
      </c>
      <c r="F37" s="46">
        <f>SUM($D27:F27)</f>
        <v>-5.696000000000001E-5</v>
      </c>
      <c r="G37" s="46">
        <f>SUM($D27:G27)</f>
        <v>5.62744E-3</v>
      </c>
      <c r="H37" s="46">
        <f>SUM($D27:H27)</f>
        <v>6.8212200000000002E-3</v>
      </c>
      <c r="I37" s="46">
        <f>SUM($D27:I27)</f>
        <v>9.1972900000000003E-3</v>
      </c>
      <c r="J37" s="46">
        <f>SUM($D27:J27)</f>
        <v>8.9459500000000011E-3</v>
      </c>
      <c r="K37" s="46">
        <f>SUM($D27:K27)</f>
        <v>1.0095550000000002E-2</v>
      </c>
      <c r="L37" s="46">
        <f>SUM($D27:L27)</f>
        <v>1.2410950000000002E-2</v>
      </c>
      <c r="M37" s="46">
        <f>SUM($D27:M27)</f>
        <v>1.8868700000000002E-2</v>
      </c>
      <c r="N37" s="46">
        <f>SUM($D27:N27)</f>
        <v>3.4928890000000004E-2</v>
      </c>
      <c r="O37" s="46">
        <f>SUM($D27:O27)</f>
        <v>3.8272030000000005E-2</v>
      </c>
      <c r="P37" s="46">
        <f>SUM($D27:P27)</f>
        <v>3.8186940000000003E-2</v>
      </c>
      <c r="Q37" s="46">
        <f>SUM($D27:Q27)</f>
        <v>3.8276610000000003E-2</v>
      </c>
      <c r="R37" s="46">
        <f>SUM($D27:R27)</f>
        <v>3.8307500000000001E-2</v>
      </c>
      <c r="S37" s="46">
        <f>SUM($D27:S27)</f>
        <v>3.8307500000000001E-2</v>
      </c>
      <c r="T37" s="46">
        <f>SUM($D27:T27)</f>
        <v>3.8461910000000002E-2</v>
      </c>
      <c r="U37" s="46">
        <f>SUM($D27:U27)</f>
        <v>4.003781E-2</v>
      </c>
      <c r="V37" s="46">
        <f>SUM($D27:V27)</f>
        <v>3.9282839999999999E-2</v>
      </c>
      <c r="W37" s="46">
        <f>SUM($D27:W27)</f>
        <v>3.8039179999999999E-2</v>
      </c>
      <c r="X37" s="46">
        <f>SUM($D27:X27)</f>
        <v>3.8039179999999999E-2</v>
      </c>
    </row>
    <row r="38" spans="1:24" x14ac:dyDescent="0.3">
      <c r="B38" s="41" t="s">
        <v>44</v>
      </c>
      <c r="C38" s="46">
        <f>C28</f>
        <v>6.259900000000001E-4</v>
      </c>
      <c r="D38" s="47">
        <f t="shared" ref="D38:D42" si="10">D28</f>
        <v>8.9590000000000001E-5</v>
      </c>
      <c r="E38" s="46">
        <f>SUM($D28:E28)</f>
        <v>-4.801000000000001E-5</v>
      </c>
      <c r="F38" s="46">
        <f>SUM($D28:F28)</f>
        <v>-4.801000000000001E-5</v>
      </c>
      <c r="G38" s="46">
        <f>SUM($D28:G28)</f>
        <v>4.7180399999999997E-3</v>
      </c>
      <c r="H38" s="46">
        <f>SUM($D28:H28)</f>
        <v>5.7189599999999995E-3</v>
      </c>
      <c r="I38" s="46">
        <f>SUM($D28:I28)</f>
        <v>7.7111599999999999E-3</v>
      </c>
      <c r="J38" s="46">
        <f>SUM($D28:J28)</f>
        <v>7.5004299999999998E-3</v>
      </c>
      <c r="K38" s="46">
        <f>SUM($D28:K28)</f>
        <v>8.4642999999999993E-3</v>
      </c>
      <c r="L38" s="46">
        <f>SUM($D28:L28)</f>
        <v>1.0405629999999999E-2</v>
      </c>
      <c r="M38" s="46">
        <f>SUM($D28:M28)</f>
        <v>1.582159E-2</v>
      </c>
      <c r="N38" s="46">
        <f>SUM($D28:N28)</f>
        <v>2.9330439999999999E-2</v>
      </c>
      <c r="O38" s="46">
        <f>SUM($D28:O28)</f>
        <v>3.2147099999999998E-2</v>
      </c>
      <c r="P38" s="46">
        <f>SUM($D28:P28)</f>
        <v>3.2075409999999999E-2</v>
      </c>
      <c r="Q38" s="46">
        <f>SUM($D28:Q28)</f>
        <v>3.2150959999999999E-2</v>
      </c>
      <c r="R38" s="46">
        <f>SUM($D28:R28)</f>
        <v>3.2176990000000003E-2</v>
      </c>
      <c r="S38" s="46">
        <f>SUM($D28:S28)</f>
        <v>3.2176990000000003E-2</v>
      </c>
      <c r="T38" s="46">
        <f>SUM($D28:T28)</f>
        <v>3.2307410000000002E-2</v>
      </c>
      <c r="U38" s="46">
        <f>SUM($D28:U28)</f>
        <v>3.3639540000000002E-2</v>
      </c>
      <c r="V38" s="46">
        <f>SUM($D28:V28)</f>
        <v>3.3000620000000001E-2</v>
      </c>
      <c r="W38" s="46">
        <f>SUM($D28:W28)</f>
        <v>3.1948150000000002E-2</v>
      </c>
      <c r="X38" s="46">
        <f>SUM($D28:X28)</f>
        <v>3.1948150000000002E-2</v>
      </c>
    </row>
    <row r="39" spans="1:24" x14ac:dyDescent="0.3">
      <c r="B39" s="41" t="s">
        <v>45</v>
      </c>
      <c r="C39" s="46">
        <f>C29</f>
        <v>4.7511E-4</v>
      </c>
      <c r="D39" s="47">
        <f t="shared" si="10"/>
        <v>6.7999999999999999E-5</v>
      </c>
      <c r="E39" s="46">
        <f>SUM($D29:E29)</f>
        <v>-7.9430000000000017E-5</v>
      </c>
      <c r="F39" s="46">
        <f>SUM($D29:F29)</f>
        <v>-7.9430000000000017E-5</v>
      </c>
      <c r="G39" s="46">
        <f>SUM($D29:G29)</f>
        <v>5.0273499999999999E-3</v>
      </c>
      <c r="H39" s="46">
        <f>SUM($D29:H29)</f>
        <v>6.0998299999999997E-3</v>
      </c>
      <c r="I39" s="46">
        <f>SUM($D29:I29)</f>
        <v>8.2344499999999991E-3</v>
      </c>
      <c r="J39" s="46">
        <f>SUM($D29:J29)</f>
        <v>8.0086499999999991E-3</v>
      </c>
      <c r="K39" s="46">
        <f>SUM($D29:K29)</f>
        <v>9.0414299999999996E-3</v>
      </c>
      <c r="L39" s="46">
        <f>SUM($D29:L29)</f>
        <v>1.1121549999999999E-2</v>
      </c>
      <c r="M39" s="46">
        <f>SUM($D29:M29)</f>
        <v>1.7068359999999998E-2</v>
      </c>
      <c r="N39" s="46">
        <f>SUM($D29:N29)</f>
        <v>3.2451139999999996E-2</v>
      </c>
      <c r="O39" s="46">
        <f>SUM($D29:O29)</f>
        <v>3.5740309999999997E-2</v>
      </c>
      <c r="P39" s="46">
        <f>SUM($D29:P29)</f>
        <v>3.5656559999999997E-2</v>
      </c>
      <c r="Q39" s="46">
        <f>SUM($D29:Q29)</f>
        <v>3.5744819999999997E-2</v>
      </c>
      <c r="R39" s="46">
        <f>SUM($D29:R29)</f>
        <v>3.5775219999999996E-2</v>
      </c>
      <c r="S39" s="46">
        <f>SUM($D29:S29)</f>
        <v>3.5775219999999996E-2</v>
      </c>
      <c r="T39" s="46">
        <f>SUM($D29:T29)</f>
        <v>3.5930979999999994E-2</v>
      </c>
      <c r="U39" s="46">
        <f>SUM($D29:U29)</f>
        <v>3.7572509999999996E-2</v>
      </c>
      <c r="V39" s="46">
        <f>SUM($D29:V29)</f>
        <v>3.6753679999999997E-2</v>
      </c>
      <c r="W39" s="46">
        <f>SUM($D29:W29)</f>
        <v>3.540484E-2</v>
      </c>
      <c r="X39" s="46">
        <f>SUM($D29:X29)</f>
        <v>3.540484E-2</v>
      </c>
    </row>
    <row r="40" spans="1:24" x14ac:dyDescent="0.3">
      <c r="B40" s="41" t="s">
        <v>46</v>
      </c>
      <c r="C40" s="46">
        <f>C30</f>
        <v>4.9585999999999999E-4</v>
      </c>
      <c r="D40" s="47">
        <f t="shared" si="10"/>
        <v>7.0970000000000007E-5</v>
      </c>
      <c r="E40" s="46">
        <f>SUM($D30:E30)</f>
        <v>-4.1950000000000003E-5</v>
      </c>
      <c r="F40" s="46">
        <f>SUM($D30:F30)</f>
        <v>-4.1950000000000003E-5</v>
      </c>
      <c r="G40" s="46">
        <f>SUM($D30:G30)</f>
        <v>3.8692800000000001E-3</v>
      </c>
      <c r="H40" s="46">
        <f>SUM($D30:H30)</f>
        <v>4.69068E-3</v>
      </c>
      <c r="I40" s="46">
        <f>SUM($D30:I30)</f>
        <v>6.32557E-3</v>
      </c>
      <c r="J40" s="46">
        <f>SUM($D30:J30)</f>
        <v>6.15264E-3</v>
      </c>
      <c r="K40" s="46">
        <f>SUM($D30:K30)</f>
        <v>6.9436400000000001E-3</v>
      </c>
      <c r="L40" s="46">
        <f>SUM($D30:L30)</f>
        <v>8.5367800000000008E-3</v>
      </c>
      <c r="M40" s="46">
        <f>SUM($D30:M30)</f>
        <v>1.2980230000000002E-2</v>
      </c>
      <c r="N40" s="46">
        <f>SUM($D30:N30)</f>
        <v>2.4466830000000002E-2</v>
      </c>
      <c r="O40" s="46">
        <f>SUM($D30:O30)</f>
        <v>2.685792E-2</v>
      </c>
      <c r="P40" s="46">
        <f>SUM($D30:P30)</f>
        <v>2.6797060000000001E-2</v>
      </c>
      <c r="Q40" s="46">
        <f>SUM($D30:Q30)</f>
        <v>2.686119E-2</v>
      </c>
      <c r="R40" s="46">
        <f>SUM($D30:R30)</f>
        <v>2.6883279999999999E-2</v>
      </c>
      <c r="S40" s="46">
        <f>SUM($D30:S30)</f>
        <v>2.6883279999999999E-2</v>
      </c>
      <c r="T40" s="46">
        <f>SUM($D30:T30)</f>
        <v>2.6993719999999999E-2</v>
      </c>
      <c r="U40" s="46">
        <f>SUM($D30:U30)</f>
        <v>2.8124999999999997E-2</v>
      </c>
      <c r="V40" s="46">
        <f>SUM($D30:V30)</f>
        <v>2.7583029999999998E-2</v>
      </c>
      <c r="W40" s="46">
        <f>SUM($D30:W30)</f>
        <v>2.6690259999999997E-2</v>
      </c>
      <c r="X40" s="46">
        <f>SUM($D30:X30)</f>
        <v>2.6690259999999997E-2</v>
      </c>
    </row>
    <row r="41" spans="1:24" x14ac:dyDescent="0.3">
      <c r="B41" s="41" t="s">
        <v>47</v>
      </c>
      <c r="C41" s="46">
        <f>C31</f>
        <v>4.9191000000000003E-4</v>
      </c>
      <c r="D41" s="47">
        <f t="shared" si="10"/>
        <v>7.0400000000000004E-5</v>
      </c>
      <c r="E41" s="46">
        <f>SUM($D31:E31)</f>
        <v>-3.7489999999999995E-5</v>
      </c>
      <c r="F41" s="46">
        <f>SUM($D31:F31)</f>
        <v>-3.7489999999999995E-5</v>
      </c>
      <c r="G41" s="46">
        <f>SUM($D31:G31)</f>
        <v>3.69974E-3</v>
      </c>
      <c r="H41" s="46">
        <f>SUM($D31:H31)</f>
        <v>4.4846E-3</v>
      </c>
      <c r="I41" s="46">
        <f>SUM($D31:I31)</f>
        <v>6.04676E-3</v>
      </c>
      <c r="J41" s="46">
        <f>SUM($D31:J31)</f>
        <v>5.8815200000000003E-3</v>
      </c>
      <c r="K41" s="46">
        <f>SUM($D31:K31)</f>
        <v>6.6373300000000003E-3</v>
      </c>
      <c r="L41" s="46">
        <f>SUM($D31:L31)</f>
        <v>8.1595999999999995E-3</v>
      </c>
      <c r="M41" s="46">
        <f>SUM($D31:M31)</f>
        <v>1.2405269999999999E-2</v>
      </c>
      <c r="N41" s="46">
        <f>SUM($D31:N31)</f>
        <v>2.2964100000000001E-2</v>
      </c>
      <c r="O41" s="46">
        <f>SUM($D31:O31)</f>
        <v>2.516434E-2</v>
      </c>
      <c r="P41" s="46">
        <f>SUM($D31:P31)</f>
        <v>2.510834E-2</v>
      </c>
      <c r="Q41" s="46">
        <f>SUM($D31:Q31)</f>
        <v>2.5167350000000002E-2</v>
      </c>
      <c r="R41" s="46">
        <f>SUM($D31:R31)</f>
        <v>2.518768E-2</v>
      </c>
      <c r="S41" s="46">
        <f>SUM($D31:S31)</f>
        <v>2.518768E-2</v>
      </c>
      <c r="T41" s="46">
        <f>SUM($D31:T31)</f>
        <v>2.5289309999999999E-2</v>
      </c>
      <c r="U41" s="46">
        <f>SUM($D31:U31)</f>
        <v>2.6323579999999999E-2</v>
      </c>
      <c r="V41" s="46">
        <f>SUM($D31:V31)</f>
        <v>2.5828E-2</v>
      </c>
      <c r="W41" s="46">
        <f>SUM($D31:W31)</f>
        <v>2.501165E-2</v>
      </c>
      <c r="X41" s="46">
        <f>SUM($D31:X31)</f>
        <v>2.501165E-2</v>
      </c>
    </row>
    <row r="42" spans="1:24" x14ac:dyDescent="0.3">
      <c r="B42" s="41" t="s">
        <v>48</v>
      </c>
      <c r="C42" s="46">
        <f>C32</f>
        <v>5.8600999999999998E-4</v>
      </c>
      <c r="D42" s="47">
        <f t="shared" si="10"/>
        <v>8.3869999999999995E-5</v>
      </c>
      <c r="E42" s="46">
        <f>SUM($D32:E32)</f>
        <v>-6.7830000000000006E-5</v>
      </c>
      <c r="F42" s="46">
        <f>SUM($D32:F32)</f>
        <v>-6.7830000000000006E-5</v>
      </c>
      <c r="G42" s="46">
        <f>SUM($D32:G32)</f>
        <v>5.1866000000000004E-3</v>
      </c>
      <c r="H42" s="46">
        <f>SUM($D32:H32)</f>
        <v>6.2900900000000008E-3</v>
      </c>
      <c r="I42" s="46">
        <f>SUM($D32:I32)</f>
        <v>8.4864300000000014E-3</v>
      </c>
      <c r="J42" s="46">
        <f>SUM($D32:J32)</f>
        <v>8.254110000000002E-3</v>
      </c>
      <c r="K42" s="46">
        <f>SUM($D32:K32)</f>
        <v>9.3167500000000021E-3</v>
      </c>
      <c r="L42" s="46">
        <f>SUM($D32:L32)</f>
        <v>1.1457010000000002E-2</v>
      </c>
      <c r="M42" s="46">
        <f>SUM($D32:M32)</f>
        <v>1.7490270000000002E-2</v>
      </c>
      <c r="N42" s="46">
        <f>SUM($D32:N32)</f>
        <v>3.2764380000000003E-2</v>
      </c>
      <c r="O42" s="46">
        <f>SUM($D32:O32)</f>
        <v>3.5980210000000006E-2</v>
      </c>
      <c r="P42" s="46">
        <f>SUM($D32:P32)</f>
        <v>3.5898350000000002E-2</v>
      </c>
      <c r="Q42" s="46">
        <f>SUM($D32:Q32)</f>
        <v>3.5984620000000002E-2</v>
      </c>
      <c r="R42" s="46">
        <f>SUM($D32:R32)</f>
        <v>3.6014339999999999E-2</v>
      </c>
      <c r="S42" s="46">
        <f>SUM($D32:S32)</f>
        <v>3.6014339999999999E-2</v>
      </c>
      <c r="T42" s="46">
        <f>SUM($D32:T32)</f>
        <v>3.6164450000000001E-2</v>
      </c>
      <c r="U42" s="46">
        <f>SUM($D32:U32)</f>
        <v>3.7716600000000003E-2</v>
      </c>
      <c r="V42" s="46">
        <f>SUM($D32:V32)</f>
        <v>3.6960980000000004E-2</v>
      </c>
      <c r="W42" s="46">
        <f>SUM($D32:W32)</f>
        <v>3.5716270000000001E-2</v>
      </c>
      <c r="X42" s="46">
        <f>SUM($D32:X32)</f>
        <v>3.5716270000000001E-2</v>
      </c>
    </row>
    <row r="43" spans="1:24" x14ac:dyDescent="0.3">
      <c r="A43" s="41"/>
      <c r="B43" s="44"/>
      <c r="C43" s="67"/>
      <c r="D43" s="45"/>
      <c r="E43" s="45"/>
      <c r="F43" s="45"/>
      <c r="G43" s="45"/>
      <c r="H43" s="45"/>
      <c r="I43" s="45"/>
      <c r="J43" s="45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X43" s="45"/>
    </row>
    <row r="44" spans="1:24" x14ac:dyDescent="0.3">
      <c r="D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</row>
    <row r="45" spans="1:24" x14ac:dyDescent="0.3">
      <c r="B45" s="88"/>
      <c r="C45" s="88"/>
      <c r="D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</row>
    <row r="46" spans="1:24" x14ac:dyDescent="0.3">
      <c r="D46" s="89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</row>
    <row r="47" spans="1:24" x14ac:dyDescent="0.3"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</row>
    <row r="48" spans="1:24" x14ac:dyDescent="0.3"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</row>
    <row r="49" spans="11:23" x14ac:dyDescent="0.3"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</row>
  </sheetData>
  <mergeCells count="4">
    <mergeCell ref="C15:X15"/>
    <mergeCell ref="C25:X25"/>
    <mergeCell ref="C3:W3"/>
    <mergeCell ref="C35:X35"/>
  </mergeCells>
  <pageMargins left="0.7" right="0.7" top="0.75" bottom="0.75" header="0.3" footer="0.3"/>
  <pageSetup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E489-BBCB-4F3B-B693-37881C9485D3}">
  <sheetPr>
    <pageSetUpPr fitToPage="1"/>
  </sheetPr>
  <dimension ref="A1:Y43"/>
  <sheetViews>
    <sheetView workbookViewId="0">
      <pane xSplit="4" ySplit="4" topLeftCell="E5" activePane="bottomRight" state="frozen"/>
      <selection activeCell="O36" sqref="O36"/>
      <selection pane="topRight" activeCell="O36" sqref="O36"/>
      <selection pane="bottomLeft" activeCell="O36" sqref="O36"/>
      <selection pane="bottomRight" activeCell="B6" sqref="B6"/>
    </sheetView>
  </sheetViews>
  <sheetFormatPr defaultColWidth="9.21875" defaultRowHeight="15.6" x14ac:dyDescent="0.3"/>
  <cols>
    <col min="1" max="1" width="23.44140625" style="38" customWidth="1"/>
    <col min="2" max="2" width="39.6640625" style="38" customWidth="1"/>
    <col min="3" max="3" width="2.44140625" style="38" customWidth="1"/>
    <col min="4" max="10" width="14.5546875" style="38" customWidth="1"/>
    <col min="11" max="11" width="14.77734375" style="38" bestFit="1" customWidth="1"/>
    <col min="12" max="18" width="15.21875" style="38" bestFit="1" customWidth="1"/>
    <col min="19" max="19" width="14.77734375" style="38" bestFit="1" customWidth="1"/>
    <col min="20" max="21" width="15" style="38" bestFit="1" customWidth="1"/>
    <col min="22" max="22" width="13.77734375" style="38" customWidth="1"/>
    <col min="23" max="23" width="16.109375" style="38" bestFit="1" customWidth="1"/>
    <col min="24" max="24" width="15.33203125" style="38" bestFit="1" customWidth="1"/>
    <col min="25" max="25" width="14.33203125" style="38" customWidth="1"/>
    <col min="26" max="26" width="9.6640625" style="38" bestFit="1" customWidth="1"/>
    <col min="27" max="27" width="11" style="38" bestFit="1" customWidth="1"/>
    <col min="28" max="28" width="12.109375" style="38" bestFit="1" customWidth="1"/>
    <col min="29" max="16384" width="9.21875" style="38"/>
  </cols>
  <sheetData>
    <row r="1" spans="1:24" x14ac:dyDescent="0.3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4" x14ac:dyDescent="0.3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3" spans="1:24" x14ac:dyDescent="0.3">
      <c r="C3" s="131" t="s">
        <v>149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</row>
    <row r="4" spans="1:24" ht="31.2" x14ac:dyDescent="0.3">
      <c r="A4" s="94" t="s">
        <v>40</v>
      </c>
      <c r="B4" s="95"/>
      <c r="C4" s="95"/>
      <c r="D4" s="96" t="s">
        <v>91</v>
      </c>
      <c r="E4" s="95">
        <v>2002</v>
      </c>
      <c r="F4" s="95">
        <v>2003</v>
      </c>
      <c r="G4" s="95">
        <v>2004</v>
      </c>
      <c r="H4" s="95">
        <v>2005</v>
      </c>
      <c r="I4" s="95">
        <v>2006</v>
      </c>
      <c r="J4" s="95">
        <v>2007</v>
      </c>
      <c r="K4" s="95">
        <v>2008</v>
      </c>
      <c r="L4" s="95">
        <v>2009</v>
      </c>
      <c r="M4" s="95">
        <v>2010</v>
      </c>
      <c r="N4" s="95">
        <v>2011</v>
      </c>
      <c r="O4" s="95">
        <v>2012</v>
      </c>
      <c r="P4" s="95">
        <v>2013</v>
      </c>
      <c r="Q4" s="95">
        <v>2014</v>
      </c>
      <c r="R4" s="95">
        <v>2015</v>
      </c>
      <c r="S4" s="95">
        <v>2016</v>
      </c>
      <c r="T4" s="95">
        <v>2017</v>
      </c>
      <c r="U4" s="95">
        <v>2018</v>
      </c>
      <c r="V4" s="95">
        <v>2019</v>
      </c>
      <c r="W4" s="95">
        <f>+V4+1</f>
        <v>2020</v>
      </c>
      <c r="X4" s="95">
        <f>+W4+1</f>
        <v>2021</v>
      </c>
    </row>
    <row r="5" spans="1:24" x14ac:dyDescent="0.3">
      <c r="A5" s="97" t="s">
        <v>43</v>
      </c>
      <c r="B5" s="98"/>
      <c r="C5" s="43"/>
      <c r="D5" s="99">
        <f>'Indifference Rate Calc'!D37</f>
        <v>1.0714999999999999E-4</v>
      </c>
      <c r="E5" s="99">
        <f>'Indifference Rate Calc'!E37</f>
        <v>-5.696000000000001E-5</v>
      </c>
      <c r="F5" s="99">
        <f>'Indifference Rate Calc'!F37</f>
        <v>-5.696000000000001E-5</v>
      </c>
      <c r="G5" s="99">
        <f>'Indifference Rate Calc'!G37</f>
        <v>5.62744E-3</v>
      </c>
      <c r="H5" s="99">
        <f>'Indifference Rate Calc'!H37</f>
        <v>6.8212200000000002E-3</v>
      </c>
      <c r="I5" s="99">
        <f>'Indifference Rate Calc'!I37</f>
        <v>9.1972900000000003E-3</v>
      </c>
      <c r="J5" s="99">
        <f>'Indifference Rate Calc'!J37</f>
        <v>8.9459500000000011E-3</v>
      </c>
      <c r="K5" s="99">
        <f>'Indifference Rate Calc'!K37</f>
        <v>1.0095550000000002E-2</v>
      </c>
      <c r="L5" s="99">
        <f>'Indifference Rate Calc'!L37</f>
        <v>1.2410950000000002E-2</v>
      </c>
      <c r="M5" s="99">
        <f>'Indifference Rate Calc'!M37</f>
        <v>1.8868700000000002E-2</v>
      </c>
      <c r="N5" s="99">
        <f>'Indifference Rate Calc'!N37</f>
        <v>3.4928890000000004E-2</v>
      </c>
      <c r="O5" s="99">
        <f>'Indifference Rate Calc'!O37</f>
        <v>3.8272030000000005E-2</v>
      </c>
      <c r="P5" s="99">
        <f>'Indifference Rate Calc'!P37</f>
        <v>3.8186940000000003E-2</v>
      </c>
      <c r="Q5" s="99">
        <f>'Indifference Rate Calc'!Q37</f>
        <v>3.8276610000000003E-2</v>
      </c>
      <c r="R5" s="99">
        <f>'Indifference Rate Calc'!R37</f>
        <v>3.8307500000000001E-2</v>
      </c>
      <c r="S5" s="99">
        <f>'Indifference Rate Calc'!S37</f>
        <v>3.8307500000000001E-2</v>
      </c>
      <c r="T5" s="99">
        <f>'Indifference Rate Calc'!T37</f>
        <v>3.8461910000000002E-2</v>
      </c>
      <c r="U5" s="99">
        <f>'Indifference Rate Calc'!U37</f>
        <v>4.003781E-2</v>
      </c>
      <c r="V5" s="99">
        <f>'Indifference Rate Calc'!V37</f>
        <v>3.9282839999999999E-2</v>
      </c>
      <c r="W5" s="99">
        <f>'Indifference Rate Calc'!W37</f>
        <v>3.8039179999999999E-2</v>
      </c>
      <c r="X5" s="99">
        <f>'Indifference Rate Calc'!X37</f>
        <v>3.8039179999999999E-2</v>
      </c>
    </row>
    <row r="6" spans="1:24" x14ac:dyDescent="0.3">
      <c r="A6" s="97" t="s">
        <v>44</v>
      </c>
      <c r="B6" s="98"/>
      <c r="C6" s="43"/>
      <c r="D6" s="99">
        <f>'Indifference Rate Calc'!D38</f>
        <v>8.9590000000000001E-5</v>
      </c>
      <c r="E6" s="99">
        <f>'Indifference Rate Calc'!E38</f>
        <v>-4.801000000000001E-5</v>
      </c>
      <c r="F6" s="99">
        <f>'Indifference Rate Calc'!F38</f>
        <v>-4.801000000000001E-5</v>
      </c>
      <c r="G6" s="99">
        <f>'Indifference Rate Calc'!G38</f>
        <v>4.7180399999999997E-3</v>
      </c>
      <c r="H6" s="99">
        <f>'Indifference Rate Calc'!H38</f>
        <v>5.7189599999999995E-3</v>
      </c>
      <c r="I6" s="99">
        <f>'Indifference Rate Calc'!I38</f>
        <v>7.7111599999999999E-3</v>
      </c>
      <c r="J6" s="99">
        <f>'Indifference Rate Calc'!J38</f>
        <v>7.5004299999999998E-3</v>
      </c>
      <c r="K6" s="99">
        <f>'Indifference Rate Calc'!K38</f>
        <v>8.4642999999999993E-3</v>
      </c>
      <c r="L6" s="99">
        <f>'Indifference Rate Calc'!L38</f>
        <v>1.0405629999999999E-2</v>
      </c>
      <c r="M6" s="99">
        <f>'Indifference Rate Calc'!M38</f>
        <v>1.582159E-2</v>
      </c>
      <c r="N6" s="99">
        <f>'Indifference Rate Calc'!N38</f>
        <v>2.9330439999999999E-2</v>
      </c>
      <c r="O6" s="99">
        <f>'Indifference Rate Calc'!O38</f>
        <v>3.2147099999999998E-2</v>
      </c>
      <c r="P6" s="99">
        <f>'Indifference Rate Calc'!P38</f>
        <v>3.2075409999999999E-2</v>
      </c>
      <c r="Q6" s="99">
        <f>'Indifference Rate Calc'!Q38</f>
        <v>3.2150959999999999E-2</v>
      </c>
      <c r="R6" s="99">
        <f>'Indifference Rate Calc'!R38</f>
        <v>3.2176990000000003E-2</v>
      </c>
      <c r="S6" s="99">
        <f>'Indifference Rate Calc'!S38</f>
        <v>3.2176990000000003E-2</v>
      </c>
      <c r="T6" s="99">
        <f>'Indifference Rate Calc'!T38</f>
        <v>3.2307410000000002E-2</v>
      </c>
      <c r="U6" s="99">
        <f>'Indifference Rate Calc'!U38</f>
        <v>3.3639540000000002E-2</v>
      </c>
      <c r="V6" s="99">
        <f>'Indifference Rate Calc'!V38</f>
        <v>3.3000620000000001E-2</v>
      </c>
      <c r="W6" s="99">
        <f>'Indifference Rate Calc'!W38</f>
        <v>3.1948150000000002E-2</v>
      </c>
      <c r="X6" s="99">
        <f>'Indifference Rate Calc'!X38</f>
        <v>3.1948150000000002E-2</v>
      </c>
    </row>
    <row r="7" spans="1:24" x14ac:dyDescent="0.3">
      <c r="A7" s="97" t="s">
        <v>45</v>
      </c>
      <c r="B7" s="98"/>
      <c r="C7" s="43"/>
      <c r="D7" s="99">
        <f>'Indifference Rate Calc'!D39</f>
        <v>6.7999999999999999E-5</v>
      </c>
      <c r="E7" s="99">
        <f>'Indifference Rate Calc'!E39</f>
        <v>-7.9430000000000017E-5</v>
      </c>
      <c r="F7" s="99">
        <f>'Indifference Rate Calc'!F39</f>
        <v>-7.9430000000000017E-5</v>
      </c>
      <c r="G7" s="99">
        <f>'Indifference Rate Calc'!G39</f>
        <v>5.0273499999999999E-3</v>
      </c>
      <c r="H7" s="99">
        <f>'Indifference Rate Calc'!H39</f>
        <v>6.0998299999999997E-3</v>
      </c>
      <c r="I7" s="99">
        <f>'Indifference Rate Calc'!I39</f>
        <v>8.2344499999999991E-3</v>
      </c>
      <c r="J7" s="99">
        <f>'Indifference Rate Calc'!J39</f>
        <v>8.0086499999999991E-3</v>
      </c>
      <c r="K7" s="99">
        <f>'Indifference Rate Calc'!K39</f>
        <v>9.0414299999999996E-3</v>
      </c>
      <c r="L7" s="99">
        <f>'Indifference Rate Calc'!L39</f>
        <v>1.1121549999999999E-2</v>
      </c>
      <c r="M7" s="99">
        <f>'Indifference Rate Calc'!M39</f>
        <v>1.7068359999999998E-2</v>
      </c>
      <c r="N7" s="99">
        <f>'Indifference Rate Calc'!N39</f>
        <v>3.2451139999999996E-2</v>
      </c>
      <c r="O7" s="99">
        <f>'Indifference Rate Calc'!O39</f>
        <v>3.5740309999999997E-2</v>
      </c>
      <c r="P7" s="99">
        <f>'Indifference Rate Calc'!P39</f>
        <v>3.5656559999999997E-2</v>
      </c>
      <c r="Q7" s="99">
        <f>'Indifference Rate Calc'!Q39</f>
        <v>3.5744819999999997E-2</v>
      </c>
      <c r="R7" s="99">
        <f>'Indifference Rate Calc'!R39</f>
        <v>3.5775219999999996E-2</v>
      </c>
      <c r="S7" s="99">
        <f>'Indifference Rate Calc'!S39</f>
        <v>3.5775219999999996E-2</v>
      </c>
      <c r="T7" s="99">
        <f>'Indifference Rate Calc'!T39</f>
        <v>3.5930979999999994E-2</v>
      </c>
      <c r="U7" s="99">
        <f>'Indifference Rate Calc'!U39</f>
        <v>3.7572509999999996E-2</v>
      </c>
      <c r="V7" s="99">
        <f>'Indifference Rate Calc'!V39</f>
        <v>3.6753679999999997E-2</v>
      </c>
      <c r="W7" s="99">
        <f>'Indifference Rate Calc'!W39</f>
        <v>3.540484E-2</v>
      </c>
      <c r="X7" s="99">
        <f>'Indifference Rate Calc'!X39</f>
        <v>3.540484E-2</v>
      </c>
    </row>
    <row r="8" spans="1:24" x14ac:dyDescent="0.3">
      <c r="A8" s="97" t="s">
        <v>46</v>
      </c>
      <c r="B8" s="98"/>
      <c r="C8" s="43"/>
      <c r="D8" s="99">
        <f>'Indifference Rate Calc'!D40</f>
        <v>7.0970000000000007E-5</v>
      </c>
      <c r="E8" s="99">
        <f>'Indifference Rate Calc'!E40</f>
        <v>-4.1950000000000003E-5</v>
      </c>
      <c r="F8" s="99">
        <f>'Indifference Rate Calc'!F40</f>
        <v>-4.1950000000000003E-5</v>
      </c>
      <c r="G8" s="99">
        <f>'Indifference Rate Calc'!G40</f>
        <v>3.8692800000000001E-3</v>
      </c>
      <c r="H8" s="99">
        <f>'Indifference Rate Calc'!H40</f>
        <v>4.69068E-3</v>
      </c>
      <c r="I8" s="99">
        <f>'Indifference Rate Calc'!I40</f>
        <v>6.32557E-3</v>
      </c>
      <c r="J8" s="99">
        <f>'Indifference Rate Calc'!J40</f>
        <v>6.15264E-3</v>
      </c>
      <c r="K8" s="99">
        <f>'Indifference Rate Calc'!K40</f>
        <v>6.9436400000000001E-3</v>
      </c>
      <c r="L8" s="99">
        <f>'Indifference Rate Calc'!L40</f>
        <v>8.5367800000000008E-3</v>
      </c>
      <c r="M8" s="99">
        <f>'Indifference Rate Calc'!M40</f>
        <v>1.2980230000000002E-2</v>
      </c>
      <c r="N8" s="99">
        <f>'Indifference Rate Calc'!N40</f>
        <v>2.4466830000000002E-2</v>
      </c>
      <c r="O8" s="99">
        <f>'Indifference Rate Calc'!O40</f>
        <v>2.685792E-2</v>
      </c>
      <c r="P8" s="99">
        <f>'Indifference Rate Calc'!P40</f>
        <v>2.6797060000000001E-2</v>
      </c>
      <c r="Q8" s="99">
        <f>'Indifference Rate Calc'!Q40</f>
        <v>2.686119E-2</v>
      </c>
      <c r="R8" s="99">
        <f>'Indifference Rate Calc'!R40</f>
        <v>2.6883279999999999E-2</v>
      </c>
      <c r="S8" s="99">
        <f>'Indifference Rate Calc'!S40</f>
        <v>2.6883279999999999E-2</v>
      </c>
      <c r="T8" s="99">
        <f>'Indifference Rate Calc'!T40</f>
        <v>2.6993719999999999E-2</v>
      </c>
      <c r="U8" s="99">
        <f>'Indifference Rate Calc'!U40</f>
        <v>2.8124999999999997E-2</v>
      </c>
      <c r="V8" s="99">
        <f>'Indifference Rate Calc'!V40</f>
        <v>2.7583029999999998E-2</v>
      </c>
      <c r="W8" s="99">
        <f>'Indifference Rate Calc'!W40</f>
        <v>2.6690259999999997E-2</v>
      </c>
      <c r="X8" s="99">
        <f>'Indifference Rate Calc'!X40</f>
        <v>2.6690259999999997E-2</v>
      </c>
    </row>
    <row r="9" spans="1:24" x14ac:dyDescent="0.3">
      <c r="A9" s="97" t="s">
        <v>47</v>
      </c>
      <c r="B9" s="98"/>
      <c r="C9" s="43"/>
      <c r="D9" s="99">
        <f>'Indifference Rate Calc'!D41</f>
        <v>7.0400000000000004E-5</v>
      </c>
      <c r="E9" s="99">
        <f>'Indifference Rate Calc'!E41</f>
        <v>-3.7489999999999995E-5</v>
      </c>
      <c r="F9" s="99">
        <f>'Indifference Rate Calc'!F41</f>
        <v>-3.7489999999999995E-5</v>
      </c>
      <c r="G9" s="99">
        <f>'Indifference Rate Calc'!G41</f>
        <v>3.69974E-3</v>
      </c>
      <c r="H9" s="99">
        <f>'Indifference Rate Calc'!H41</f>
        <v>4.4846E-3</v>
      </c>
      <c r="I9" s="99">
        <f>'Indifference Rate Calc'!I41</f>
        <v>6.04676E-3</v>
      </c>
      <c r="J9" s="99">
        <f>'Indifference Rate Calc'!J41</f>
        <v>5.8815200000000003E-3</v>
      </c>
      <c r="K9" s="99">
        <f>'Indifference Rate Calc'!K41</f>
        <v>6.6373300000000003E-3</v>
      </c>
      <c r="L9" s="99">
        <f>'Indifference Rate Calc'!L41</f>
        <v>8.1595999999999995E-3</v>
      </c>
      <c r="M9" s="99">
        <f>'Indifference Rate Calc'!M41</f>
        <v>1.2405269999999999E-2</v>
      </c>
      <c r="N9" s="99">
        <f>'Indifference Rate Calc'!N41</f>
        <v>2.2964100000000001E-2</v>
      </c>
      <c r="O9" s="99">
        <f>'Indifference Rate Calc'!O41</f>
        <v>2.516434E-2</v>
      </c>
      <c r="P9" s="99">
        <f>'Indifference Rate Calc'!P41</f>
        <v>2.510834E-2</v>
      </c>
      <c r="Q9" s="99">
        <f>'Indifference Rate Calc'!Q41</f>
        <v>2.5167350000000002E-2</v>
      </c>
      <c r="R9" s="99">
        <f>'Indifference Rate Calc'!R41</f>
        <v>2.518768E-2</v>
      </c>
      <c r="S9" s="99">
        <f>'Indifference Rate Calc'!S41</f>
        <v>2.518768E-2</v>
      </c>
      <c r="T9" s="99">
        <f>'Indifference Rate Calc'!T41</f>
        <v>2.5289309999999999E-2</v>
      </c>
      <c r="U9" s="99">
        <f>'Indifference Rate Calc'!U41</f>
        <v>2.6323579999999999E-2</v>
      </c>
      <c r="V9" s="99">
        <f>'Indifference Rate Calc'!V41</f>
        <v>2.5828E-2</v>
      </c>
      <c r="W9" s="99">
        <f>'Indifference Rate Calc'!W41</f>
        <v>2.501165E-2</v>
      </c>
      <c r="X9" s="99">
        <f>'Indifference Rate Calc'!X41</f>
        <v>2.501165E-2</v>
      </c>
    </row>
    <row r="10" spans="1:24" x14ac:dyDescent="0.3">
      <c r="A10" s="97" t="s">
        <v>48</v>
      </c>
      <c r="B10" s="98"/>
      <c r="C10" s="43"/>
      <c r="D10" s="100">
        <f>'Indifference Rate Calc'!D42</f>
        <v>8.3869999999999995E-5</v>
      </c>
      <c r="E10" s="100">
        <f>'Indifference Rate Calc'!E42</f>
        <v>-6.7830000000000006E-5</v>
      </c>
      <c r="F10" s="100">
        <f>'Indifference Rate Calc'!F42</f>
        <v>-6.7830000000000006E-5</v>
      </c>
      <c r="G10" s="100">
        <f>'Indifference Rate Calc'!G42</f>
        <v>5.1866000000000004E-3</v>
      </c>
      <c r="H10" s="100">
        <f>'Indifference Rate Calc'!H42</f>
        <v>6.2900900000000008E-3</v>
      </c>
      <c r="I10" s="100">
        <f>'Indifference Rate Calc'!I42</f>
        <v>8.4864300000000014E-3</v>
      </c>
      <c r="J10" s="100">
        <f>'Indifference Rate Calc'!J42</f>
        <v>8.254110000000002E-3</v>
      </c>
      <c r="K10" s="100">
        <f>'Indifference Rate Calc'!K42</f>
        <v>9.3167500000000021E-3</v>
      </c>
      <c r="L10" s="100">
        <f>'Indifference Rate Calc'!L42</f>
        <v>1.1457010000000002E-2</v>
      </c>
      <c r="M10" s="100">
        <f>'Indifference Rate Calc'!M42</f>
        <v>1.7490270000000002E-2</v>
      </c>
      <c r="N10" s="100">
        <f>'Indifference Rate Calc'!N42</f>
        <v>3.2764380000000003E-2</v>
      </c>
      <c r="O10" s="100">
        <f>'Indifference Rate Calc'!O42</f>
        <v>3.5980210000000006E-2</v>
      </c>
      <c r="P10" s="100">
        <f>'Indifference Rate Calc'!P42</f>
        <v>3.5898350000000002E-2</v>
      </c>
      <c r="Q10" s="100">
        <f>'Indifference Rate Calc'!Q42</f>
        <v>3.5984620000000002E-2</v>
      </c>
      <c r="R10" s="100">
        <f>'Indifference Rate Calc'!R42</f>
        <v>3.6014339999999999E-2</v>
      </c>
      <c r="S10" s="100">
        <f>'Indifference Rate Calc'!S42</f>
        <v>3.6014339999999999E-2</v>
      </c>
      <c r="T10" s="100">
        <f>'Indifference Rate Calc'!T42</f>
        <v>3.6164450000000001E-2</v>
      </c>
      <c r="U10" s="100">
        <f>'Indifference Rate Calc'!U42</f>
        <v>3.7716600000000003E-2</v>
      </c>
      <c r="V10" s="100">
        <f>'Indifference Rate Calc'!V42</f>
        <v>3.6960980000000004E-2</v>
      </c>
      <c r="W10" s="100">
        <f>'Indifference Rate Calc'!W42</f>
        <v>3.5716270000000001E-2</v>
      </c>
      <c r="X10" s="100">
        <f>'Indifference Rate Calc'!X42</f>
        <v>3.5716270000000001E-2</v>
      </c>
    </row>
    <row r="11" spans="1:24" x14ac:dyDescent="0.3">
      <c r="A11" s="70"/>
      <c r="B11" s="44"/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4" x14ac:dyDescent="0.3">
      <c r="A12" s="97" t="s">
        <v>126</v>
      </c>
      <c r="B12" s="44"/>
      <c r="C12" s="42"/>
      <c r="D12" s="100">
        <v>3.7570000000000001E-5</v>
      </c>
      <c r="E12" s="100">
        <v>-4.1110000000000002E-4</v>
      </c>
      <c r="F12" s="100">
        <v>-4.1110000000000002E-4</v>
      </c>
      <c r="G12" s="100">
        <v>7.2805299999999995E-3</v>
      </c>
      <c r="H12" s="100">
        <v>9.0052199999999995E-3</v>
      </c>
      <c r="I12" s="100">
        <v>1.121219E-2</v>
      </c>
      <c r="J12" s="100">
        <v>1.1465120000000001E-2</v>
      </c>
      <c r="K12" s="100">
        <v>1.365092E-2</v>
      </c>
      <c r="L12" s="100">
        <v>1.364984E-2</v>
      </c>
      <c r="M12" s="100">
        <v>1.6890220000000001E-2</v>
      </c>
      <c r="N12" s="100">
        <v>2.3735220000000001E-2</v>
      </c>
      <c r="O12" s="100">
        <v>2.5627590000000002E-2</v>
      </c>
      <c r="P12" s="100">
        <v>2.5831890000000003E-2</v>
      </c>
      <c r="Q12" s="100">
        <v>2.5612120000000002E-2</v>
      </c>
      <c r="R12" s="100">
        <v>2.6108430000000002E-2</v>
      </c>
      <c r="S12" s="100">
        <v>2.6108430000000002E-2</v>
      </c>
      <c r="T12" s="100">
        <v>2.5924080000000002E-2</v>
      </c>
      <c r="U12" s="100">
        <v>2.5924080000000002E-2</v>
      </c>
      <c r="V12" s="100">
        <v>2.5534210000000002E-2</v>
      </c>
      <c r="W12" s="100">
        <v>2.6682270000000001E-2</v>
      </c>
    </row>
    <row r="13" spans="1:24" x14ac:dyDescent="0.3">
      <c r="A13" s="97" t="s">
        <v>125</v>
      </c>
      <c r="B13" s="44"/>
      <c r="C13" s="42"/>
      <c r="D13" s="99" t="b">
        <f>IF(D10-D12&gt;0.005,TRUE, FALSE)</f>
        <v>0</v>
      </c>
      <c r="E13" s="99" t="b">
        <f t="shared" ref="E13:W13" si="0">IF(E10-E12&gt;0.005,TRUE, FALSE)</f>
        <v>0</v>
      </c>
      <c r="F13" s="99" t="b">
        <f t="shared" si="0"/>
        <v>0</v>
      </c>
      <c r="G13" s="99" t="b">
        <f t="shared" si="0"/>
        <v>0</v>
      </c>
      <c r="H13" s="99" t="b">
        <f t="shared" si="0"/>
        <v>0</v>
      </c>
      <c r="I13" s="99" t="b">
        <f t="shared" si="0"/>
        <v>0</v>
      </c>
      <c r="J13" s="99" t="b">
        <f t="shared" si="0"/>
        <v>0</v>
      </c>
      <c r="K13" s="99" t="b">
        <f t="shared" si="0"/>
        <v>0</v>
      </c>
      <c r="L13" s="99" t="b">
        <f t="shared" si="0"/>
        <v>0</v>
      </c>
      <c r="M13" s="99" t="b">
        <f>IF(M10-M12&gt;0.005,TRUE, FALSE)</f>
        <v>0</v>
      </c>
      <c r="N13" s="99" t="b">
        <f t="shared" si="0"/>
        <v>1</v>
      </c>
      <c r="O13" s="99" t="b">
        <f t="shared" si="0"/>
        <v>1</v>
      </c>
      <c r="P13" s="99" t="b">
        <f t="shared" si="0"/>
        <v>1</v>
      </c>
      <c r="Q13" s="99" t="b">
        <f t="shared" si="0"/>
        <v>1</v>
      </c>
      <c r="R13" s="99" t="b">
        <f t="shared" si="0"/>
        <v>1</v>
      </c>
      <c r="S13" s="99" t="b">
        <f t="shared" si="0"/>
        <v>1</v>
      </c>
      <c r="T13" s="99" t="b">
        <f t="shared" si="0"/>
        <v>1</v>
      </c>
      <c r="U13" s="99" t="b">
        <f t="shared" si="0"/>
        <v>1</v>
      </c>
      <c r="V13" s="99" t="b">
        <f t="shared" si="0"/>
        <v>1</v>
      </c>
      <c r="W13" s="99" t="b">
        <f t="shared" si="0"/>
        <v>1</v>
      </c>
    </row>
    <row r="14" spans="1:24" x14ac:dyDescent="0.3">
      <c r="A14" s="97"/>
      <c r="B14" s="44"/>
      <c r="C14" s="4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</row>
    <row r="16" spans="1:24" x14ac:dyDescent="0.3">
      <c r="C16" s="131" t="s">
        <v>138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</row>
    <row r="17" spans="1:25" s="94" customFormat="1" ht="31.2" x14ac:dyDescent="0.3">
      <c r="A17" s="94" t="s">
        <v>40</v>
      </c>
      <c r="C17" s="95"/>
      <c r="D17" s="96" t="s">
        <v>91</v>
      </c>
      <c r="E17" s="95">
        <v>2002</v>
      </c>
      <c r="F17" s="95">
        <v>2003</v>
      </c>
      <c r="G17" s="95">
        <v>2004</v>
      </c>
      <c r="H17" s="95">
        <v>2005</v>
      </c>
      <c r="I17" s="95">
        <v>2006</v>
      </c>
      <c r="J17" s="95">
        <v>2007</v>
      </c>
      <c r="K17" s="95">
        <v>2008</v>
      </c>
      <c r="L17" s="95">
        <v>2009</v>
      </c>
      <c r="M17" s="95">
        <v>2010</v>
      </c>
      <c r="N17" s="95">
        <v>2011</v>
      </c>
      <c r="O17" s="95">
        <v>2012</v>
      </c>
      <c r="P17" s="95">
        <v>2013</v>
      </c>
      <c r="Q17" s="95">
        <v>2014</v>
      </c>
      <c r="R17" s="95">
        <v>2015</v>
      </c>
      <c r="S17" s="95">
        <v>2016</v>
      </c>
      <c r="T17" s="95">
        <v>2017</v>
      </c>
      <c r="U17" s="95">
        <v>2018</v>
      </c>
      <c r="V17" s="95">
        <v>2019</v>
      </c>
      <c r="W17" s="95">
        <f>+W4</f>
        <v>2020</v>
      </c>
      <c r="X17" s="95">
        <f>+X4</f>
        <v>2021</v>
      </c>
    </row>
    <row r="18" spans="1:25" x14ac:dyDescent="0.3">
      <c r="A18" s="97" t="s">
        <v>43</v>
      </c>
      <c r="C18" s="99"/>
      <c r="D18" s="99">
        <f t="shared" ref="D18:X18" si="1">IF(D$13,D5/D$10*(D$12+0.005),D5)</f>
        <v>1.0714999999999999E-4</v>
      </c>
      <c r="E18" s="99">
        <f t="shared" si="1"/>
        <v>-5.696000000000001E-5</v>
      </c>
      <c r="F18" s="99">
        <f t="shared" si="1"/>
        <v>-5.696000000000001E-5</v>
      </c>
      <c r="G18" s="99">
        <f t="shared" si="1"/>
        <v>5.62744E-3</v>
      </c>
      <c r="H18" s="99">
        <f t="shared" si="1"/>
        <v>6.8212200000000002E-3</v>
      </c>
      <c r="I18" s="99">
        <f t="shared" si="1"/>
        <v>9.1972900000000003E-3</v>
      </c>
      <c r="J18" s="99">
        <f t="shared" si="1"/>
        <v>8.9459500000000011E-3</v>
      </c>
      <c r="K18" s="99">
        <f t="shared" si="1"/>
        <v>1.0095550000000002E-2</v>
      </c>
      <c r="L18" s="99">
        <f t="shared" si="1"/>
        <v>1.2410950000000002E-2</v>
      </c>
      <c r="M18" s="99">
        <f t="shared" si="1"/>
        <v>1.8868700000000002E-2</v>
      </c>
      <c r="N18" s="99">
        <f t="shared" si="1"/>
        <v>3.063355200085581E-2</v>
      </c>
      <c r="O18" s="99">
        <f t="shared" si="1"/>
        <v>3.2578465865199233E-2</v>
      </c>
      <c r="P18" s="99">
        <f t="shared" si="1"/>
        <v>3.2797483269192039E-2</v>
      </c>
      <c r="Q18" s="99">
        <f t="shared" si="1"/>
        <v>3.25619161328701E-2</v>
      </c>
      <c r="R18" s="99">
        <f t="shared" si="1"/>
        <v>3.3089213414017868E-2</v>
      </c>
      <c r="S18" s="99">
        <f t="shared" si="1"/>
        <v>3.3089213414017868E-2</v>
      </c>
      <c r="T18" s="99">
        <f t="shared" si="1"/>
        <v>3.2888629076145225E-2</v>
      </c>
      <c r="U18" s="99">
        <f t="shared" si="1"/>
        <v>3.2827254828505223E-2</v>
      </c>
      <c r="V18" s="99">
        <f t="shared" si="1"/>
        <v>3.2452345310010719E-2</v>
      </c>
      <c r="W18" s="99">
        <f t="shared" si="1"/>
        <v>3.3742817246554577E-2</v>
      </c>
      <c r="X18" s="99">
        <f t="shared" si="1"/>
        <v>3.8039179999999999E-2</v>
      </c>
    </row>
    <row r="19" spans="1:25" x14ac:dyDescent="0.3">
      <c r="A19" s="97" t="s">
        <v>44</v>
      </c>
      <c r="C19" s="99"/>
      <c r="D19" s="99">
        <f t="shared" ref="D19:X19" si="2">IF(D$13,D6/D$10*(D$12+0.005),D6)</f>
        <v>8.9590000000000001E-5</v>
      </c>
      <c r="E19" s="99">
        <f t="shared" si="2"/>
        <v>-4.801000000000001E-5</v>
      </c>
      <c r="F19" s="99">
        <f t="shared" si="2"/>
        <v>-4.801000000000001E-5</v>
      </c>
      <c r="G19" s="99">
        <f t="shared" si="2"/>
        <v>4.7180399999999997E-3</v>
      </c>
      <c r="H19" s="99">
        <f t="shared" si="2"/>
        <v>5.7189599999999995E-3</v>
      </c>
      <c r="I19" s="99">
        <f t="shared" si="2"/>
        <v>7.7111599999999999E-3</v>
      </c>
      <c r="J19" s="99">
        <f t="shared" si="2"/>
        <v>7.5004299999999998E-3</v>
      </c>
      <c r="K19" s="99">
        <f t="shared" si="2"/>
        <v>8.4642999999999993E-3</v>
      </c>
      <c r="L19" s="99">
        <f t="shared" si="2"/>
        <v>1.0405629999999999E-2</v>
      </c>
      <c r="M19" s="99">
        <f t="shared" si="2"/>
        <v>1.582159E-2</v>
      </c>
      <c r="N19" s="99">
        <f t="shared" si="2"/>
        <v>2.5723564617941803E-2</v>
      </c>
      <c r="O19" s="99">
        <f t="shared" si="2"/>
        <v>2.7364715172284983E-2</v>
      </c>
      <c r="P19" s="99">
        <f t="shared" si="2"/>
        <v>2.7548494925947849E-2</v>
      </c>
      <c r="Q19" s="99">
        <f t="shared" si="2"/>
        <v>2.735082503678516E-2</v>
      </c>
      <c r="R19" s="99">
        <f t="shared" si="2"/>
        <v>2.7793807717306499E-2</v>
      </c>
      <c r="S19" s="99">
        <f t="shared" si="2"/>
        <v>2.7793807717306499E-2</v>
      </c>
      <c r="T19" s="99">
        <f t="shared" si="2"/>
        <v>2.7625940154842675E-2</v>
      </c>
      <c r="U19" s="99">
        <f t="shared" si="2"/>
        <v>2.7581272599417766E-2</v>
      </c>
      <c r="V19" s="99">
        <f t="shared" si="2"/>
        <v>2.7262476839364107E-2</v>
      </c>
      <c r="W19" s="99">
        <f t="shared" si="2"/>
        <v>2.8339743044290457E-2</v>
      </c>
      <c r="X19" s="99">
        <f t="shared" si="2"/>
        <v>3.1948150000000002E-2</v>
      </c>
    </row>
    <row r="20" spans="1:25" x14ac:dyDescent="0.3">
      <c r="A20" s="97" t="s">
        <v>45</v>
      </c>
      <c r="C20" s="99"/>
      <c r="D20" s="99">
        <f t="shared" ref="D20:X20" si="3">IF(D$13,D7/D$10*(D$12+0.005),D7)</f>
        <v>6.7999999999999999E-5</v>
      </c>
      <c r="E20" s="99">
        <f t="shared" si="3"/>
        <v>-7.9430000000000017E-5</v>
      </c>
      <c r="F20" s="99">
        <f t="shared" si="3"/>
        <v>-7.9430000000000017E-5</v>
      </c>
      <c r="G20" s="99">
        <f t="shared" si="3"/>
        <v>5.0273499999999999E-3</v>
      </c>
      <c r="H20" s="99">
        <f t="shared" si="3"/>
        <v>6.0998299999999997E-3</v>
      </c>
      <c r="I20" s="99">
        <f t="shared" si="3"/>
        <v>8.2344499999999991E-3</v>
      </c>
      <c r="J20" s="99">
        <f t="shared" si="3"/>
        <v>8.0086499999999991E-3</v>
      </c>
      <c r="K20" s="99">
        <f t="shared" si="3"/>
        <v>9.0414299999999996E-3</v>
      </c>
      <c r="L20" s="99">
        <f t="shared" si="3"/>
        <v>1.1121549999999999E-2</v>
      </c>
      <c r="M20" s="99">
        <f t="shared" si="3"/>
        <v>1.7068359999999998E-2</v>
      </c>
      <c r="N20" s="99">
        <f t="shared" si="3"/>
        <v>2.8460500310117265E-2</v>
      </c>
      <c r="O20" s="99">
        <f t="shared" si="3"/>
        <v>3.0423378883917013E-2</v>
      </c>
      <c r="P20" s="99">
        <f t="shared" si="3"/>
        <v>3.0624224670448643E-2</v>
      </c>
      <c r="Q20" s="99">
        <f t="shared" si="3"/>
        <v>3.0408122114903534E-2</v>
      </c>
      <c r="R20" s="99">
        <f t="shared" si="3"/>
        <v>3.0901883169443062E-2</v>
      </c>
      <c r="S20" s="99">
        <f t="shared" si="3"/>
        <v>3.0901883169443062E-2</v>
      </c>
      <c r="T20" s="99">
        <f t="shared" si="3"/>
        <v>3.0724440714524896E-2</v>
      </c>
      <c r="U20" s="99">
        <f t="shared" si="3"/>
        <v>3.0805939693418809E-2</v>
      </c>
      <c r="V20" s="99">
        <f t="shared" si="3"/>
        <v>3.0362955294821727E-2</v>
      </c>
      <c r="W20" s="99">
        <f t="shared" si="3"/>
        <v>3.1406014687054382E-2</v>
      </c>
      <c r="X20" s="99">
        <f t="shared" si="3"/>
        <v>3.540484E-2</v>
      </c>
    </row>
    <row r="21" spans="1:25" x14ac:dyDescent="0.3">
      <c r="A21" s="97" t="s">
        <v>46</v>
      </c>
      <c r="C21" s="99"/>
      <c r="D21" s="99">
        <f t="shared" ref="D21:X21" si="4">IF(D$13,D8/D$10*(D$12+0.005),D8)</f>
        <v>7.0970000000000007E-5</v>
      </c>
      <c r="E21" s="99">
        <f t="shared" si="4"/>
        <v>-4.1950000000000003E-5</v>
      </c>
      <c r="F21" s="99">
        <f t="shared" si="4"/>
        <v>-4.1950000000000003E-5</v>
      </c>
      <c r="G21" s="99">
        <f t="shared" si="4"/>
        <v>3.8692800000000001E-3</v>
      </c>
      <c r="H21" s="99">
        <f t="shared" si="4"/>
        <v>4.69068E-3</v>
      </c>
      <c r="I21" s="99">
        <f t="shared" si="4"/>
        <v>6.32557E-3</v>
      </c>
      <c r="J21" s="99">
        <f t="shared" si="4"/>
        <v>6.15264E-3</v>
      </c>
      <c r="K21" s="99">
        <f t="shared" si="4"/>
        <v>6.9436400000000001E-3</v>
      </c>
      <c r="L21" s="99">
        <f t="shared" si="4"/>
        <v>8.5367800000000008E-3</v>
      </c>
      <c r="M21" s="99">
        <f t="shared" si="4"/>
        <v>1.2980230000000002E-2</v>
      </c>
      <c r="N21" s="99">
        <f t="shared" si="4"/>
        <v>2.1458051174861239E-2</v>
      </c>
      <c r="O21" s="99">
        <f t="shared" si="4"/>
        <v>2.2862383571769038E-2</v>
      </c>
      <c r="P21" s="99">
        <f t="shared" si="4"/>
        <v>2.3015096968061206E-2</v>
      </c>
      <c r="Q21" s="99">
        <f t="shared" si="4"/>
        <v>2.2850817144179931E-2</v>
      </c>
      <c r="R21" s="99">
        <f t="shared" si="4"/>
        <v>2.3221212274066389E-2</v>
      </c>
      <c r="S21" s="99">
        <f t="shared" si="4"/>
        <v>2.3221212274066389E-2</v>
      </c>
      <c r="T21" s="99">
        <f t="shared" si="4"/>
        <v>2.3082224581808929E-2</v>
      </c>
      <c r="U21" s="99">
        <f t="shared" si="4"/>
        <v>2.3059866212755124E-2</v>
      </c>
      <c r="V21" s="99">
        <f t="shared" si="4"/>
        <v>2.2786896626017492E-2</v>
      </c>
      <c r="W21" s="99">
        <f t="shared" si="4"/>
        <v>2.3675709240920172E-2</v>
      </c>
      <c r="X21" s="99">
        <f t="shared" si="4"/>
        <v>2.6690259999999997E-2</v>
      </c>
    </row>
    <row r="22" spans="1:25" x14ac:dyDescent="0.3">
      <c r="A22" s="97" t="s">
        <v>47</v>
      </c>
      <c r="C22" s="99"/>
      <c r="D22" s="99">
        <f t="shared" ref="D22:X22" si="5">IF(D$13,D9/D$10*(D$12+0.005),D9)</f>
        <v>7.0400000000000004E-5</v>
      </c>
      <c r="E22" s="99">
        <f t="shared" si="5"/>
        <v>-3.7489999999999995E-5</v>
      </c>
      <c r="F22" s="99">
        <f t="shared" si="5"/>
        <v>-3.7489999999999995E-5</v>
      </c>
      <c r="G22" s="99">
        <f t="shared" si="5"/>
        <v>3.69974E-3</v>
      </c>
      <c r="H22" s="99">
        <f t="shared" si="5"/>
        <v>4.4846E-3</v>
      </c>
      <c r="I22" s="99">
        <f t="shared" si="5"/>
        <v>6.04676E-3</v>
      </c>
      <c r="J22" s="99">
        <f t="shared" si="5"/>
        <v>5.8815200000000003E-3</v>
      </c>
      <c r="K22" s="99">
        <f t="shared" si="5"/>
        <v>6.6373300000000003E-3</v>
      </c>
      <c r="L22" s="99">
        <f t="shared" si="5"/>
        <v>8.1595999999999995E-3</v>
      </c>
      <c r="M22" s="99">
        <f t="shared" si="5"/>
        <v>1.2405269999999999E-2</v>
      </c>
      <c r="N22" s="99">
        <f t="shared" si="5"/>
        <v>2.0140117578968383E-2</v>
      </c>
      <c r="O22" s="99">
        <f t="shared" si="5"/>
        <v>2.1420750132936966E-2</v>
      </c>
      <c r="P22" s="99">
        <f t="shared" si="5"/>
        <v>2.1564711942543321E-2</v>
      </c>
      <c r="Q22" s="99">
        <f t="shared" si="5"/>
        <v>2.1409867278909714E-2</v>
      </c>
      <c r="R22" s="99">
        <f t="shared" si="5"/>
        <v>2.1756588629484815E-2</v>
      </c>
      <c r="S22" s="99">
        <f t="shared" si="5"/>
        <v>2.1756588629484815E-2</v>
      </c>
      <c r="T22" s="99">
        <f t="shared" si="5"/>
        <v>2.1624790245249131E-2</v>
      </c>
      <c r="U22" s="99">
        <f t="shared" si="5"/>
        <v>2.158287050811579E-2</v>
      </c>
      <c r="V22" s="99">
        <f t="shared" si="5"/>
        <v>2.1337030995390274E-2</v>
      </c>
      <c r="W22" s="99">
        <f t="shared" si="5"/>
        <v>2.2186691063918487E-2</v>
      </c>
      <c r="X22" s="99">
        <f t="shared" si="5"/>
        <v>2.501165E-2</v>
      </c>
    </row>
    <row r="23" spans="1:25" x14ac:dyDescent="0.3">
      <c r="A23" s="97" t="s">
        <v>48</v>
      </c>
      <c r="C23" s="99"/>
      <c r="D23" s="99">
        <f t="shared" ref="D23:X23" si="6">IF(D$13,D10/D$10*(D$12+0.005),D10)</f>
        <v>8.3869999999999995E-5</v>
      </c>
      <c r="E23" s="99">
        <f t="shared" si="6"/>
        <v>-6.7830000000000006E-5</v>
      </c>
      <c r="F23" s="99">
        <f t="shared" si="6"/>
        <v>-6.7830000000000006E-5</v>
      </c>
      <c r="G23" s="99">
        <f t="shared" si="6"/>
        <v>5.1866000000000004E-3</v>
      </c>
      <c r="H23" s="99">
        <f t="shared" si="6"/>
        <v>6.2900900000000008E-3</v>
      </c>
      <c r="I23" s="99">
        <f t="shared" si="6"/>
        <v>8.4864300000000014E-3</v>
      </c>
      <c r="J23" s="99">
        <f t="shared" si="6"/>
        <v>8.254110000000002E-3</v>
      </c>
      <c r="K23" s="99">
        <f t="shared" si="6"/>
        <v>9.3167500000000021E-3</v>
      </c>
      <c r="L23" s="99">
        <f t="shared" si="6"/>
        <v>1.1457010000000002E-2</v>
      </c>
      <c r="M23" s="99">
        <f t="shared" si="6"/>
        <v>1.7490270000000002E-2</v>
      </c>
      <c r="N23" s="99">
        <f t="shared" si="6"/>
        <v>2.8735220000000002E-2</v>
      </c>
      <c r="O23" s="99">
        <f t="shared" si="6"/>
        <v>3.0627590000000003E-2</v>
      </c>
      <c r="P23" s="99">
        <f t="shared" si="6"/>
        <v>3.0831890000000004E-2</v>
      </c>
      <c r="Q23" s="99">
        <f t="shared" si="6"/>
        <v>3.0612120000000003E-2</v>
      </c>
      <c r="R23" s="99">
        <f t="shared" si="6"/>
        <v>3.1108430000000003E-2</v>
      </c>
      <c r="S23" s="99">
        <f t="shared" si="6"/>
        <v>3.1108430000000003E-2</v>
      </c>
      <c r="T23" s="99">
        <f t="shared" si="6"/>
        <v>3.0924080000000003E-2</v>
      </c>
      <c r="U23" s="99">
        <f t="shared" si="6"/>
        <v>3.0924080000000003E-2</v>
      </c>
      <c r="V23" s="99">
        <f t="shared" si="6"/>
        <v>3.0534210000000003E-2</v>
      </c>
      <c r="W23" s="99">
        <f t="shared" si="6"/>
        <v>3.1682269999999998E-2</v>
      </c>
      <c r="X23" s="99">
        <f t="shared" si="6"/>
        <v>3.5716270000000001E-2</v>
      </c>
    </row>
    <row r="24" spans="1:25" x14ac:dyDescent="0.3">
      <c r="A24" s="97"/>
      <c r="B24" s="44"/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5" s="56" customFormat="1" x14ac:dyDescent="0.3">
      <c r="A25" s="101"/>
      <c r="B25" s="82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2"/>
    </row>
    <row r="26" spans="1:25" s="56" customFormat="1" x14ac:dyDescent="0.3">
      <c r="A26" s="101"/>
      <c r="B26" s="128" t="s">
        <v>139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83"/>
    </row>
    <row r="27" spans="1:25" s="56" customFormat="1" x14ac:dyDescent="0.3">
      <c r="A27" s="101"/>
      <c r="B27" s="128" t="s">
        <v>140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83"/>
    </row>
    <row r="28" spans="1:25" s="56" customFormat="1" ht="14.4" x14ac:dyDescent="0.3"/>
    <row r="29" spans="1:25" ht="16.2" thickBot="1" x14ac:dyDescent="0.35"/>
    <row r="30" spans="1:25" x14ac:dyDescent="0.3">
      <c r="C30" s="103"/>
      <c r="D30" s="132" t="s">
        <v>144</v>
      </c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4"/>
    </row>
    <row r="31" spans="1:25" ht="31.2" x14ac:dyDescent="0.3">
      <c r="A31" s="94" t="s">
        <v>40</v>
      </c>
      <c r="C31" s="95"/>
      <c r="D31" s="87" t="s">
        <v>91</v>
      </c>
      <c r="E31" s="107">
        <v>2002</v>
      </c>
      <c r="F31" s="107">
        <v>2003</v>
      </c>
      <c r="G31" s="107">
        <v>2004</v>
      </c>
      <c r="H31" s="107">
        <v>2005</v>
      </c>
      <c r="I31" s="107">
        <v>2006</v>
      </c>
      <c r="J31" s="107">
        <v>2007</v>
      </c>
      <c r="K31" s="107">
        <v>2008</v>
      </c>
      <c r="L31" s="107">
        <v>2009</v>
      </c>
      <c r="M31" s="107">
        <v>2010</v>
      </c>
      <c r="N31" s="107">
        <v>2011</v>
      </c>
      <c r="O31" s="107">
        <v>2012</v>
      </c>
      <c r="P31" s="107">
        <v>2013</v>
      </c>
      <c r="Q31" s="107">
        <v>2014</v>
      </c>
      <c r="R31" s="107">
        <v>2015</v>
      </c>
      <c r="S31" s="107">
        <v>2016</v>
      </c>
      <c r="T31" s="107">
        <v>2017</v>
      </c>
      <c r="U31" s="107">
        <v>2018</v>
      </c>
      <c r="V31" s="107">
        <v>2019</v>
      </c>
      <c r="W31" s="107">
        <v>2020</v>
      </c>
      <c r="X31" s="104">
        <v>2021</v>
      </c>
    </row>
    <row r="32" spans="1:25" x14ac:dyDescent="0.3">
      <c r="A32" s="97" t="s">
        <v>43</v>
      </c>
      <c r="C32" s="105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1:24" x14ac:dyDescent="0.3">
      <c r="A33" s="97" t="s">
        <v>44</v>
      </c>
      <c r="C33" s="105"/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1:24" x14ac:dyDescent="0.3">
      <c r="A34" s="97" t="s">
        <v>45</v>
      </c>
      <c r="C34" s="105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9"/>
    </row>
    <row r="35" spans="1:24" x14ac:dyDescent="0.3">
      <c r="A35" s="97" t="s">
        <v>46</v>
      </c>
      <c r="C35" s="105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9"/>
    </row>
    <row r="36" spans="1:24" x14ac:dyDescent="0.3">
      <c r="A36" s="97" t="s">
        <v>47</v>
      </c>
      <c r="C36" s="105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9"/>
    </row>
    <row r="37" spans="1:24" ht="16.2" thickBot="1" x14ac:dyDescent="0.35">
      <c r="A37" s="97" t="s">
        <v>89</v>
      </c>
      <c r="C37" s="105"/>
      <c r="D37" s="140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2"/>
    </row>
    <row r="39" spans="1:24" x14ac:dyDescent="0.3">
      <c r="N39" s="115"/>
    </row>
    <row r="40" spans="1:24" x14ac:dyDescent="0.3">
      <c r="N40" s="115"/>
    </row>
    <row r="41" spans="1:24" x14ac:dyDescent="0.3">
      <c r="N41" s="115"/>
    </row>
    <row r="42" spans="1:24" x14ac:dyDescent="0.3">
      <c r="N42" s="115"/>
    </row>
    <row r="43" spans="1:24" x14ac:dyDescent="0.3">
      <c r="N43" s="115"/>
    </row>
  </sheetData>
  <mergeCells count="5">
    <mergeCell ref="D30:X30"/>
    <mergeCell ref="A1:X1"/>
    <mergeCell ref="A2:X2"/>
    <mergeCell ref="C3:X3"/>
    <mergeCell ref="C16:X16"/>
  </mergeCells>
  <conditionalFormatting sqref="D13:W13">
    <cfRule type="containsText" dxfId="0" priority="1" operator="containsText" text="True">
      <formula>NOT(ISERROR(SEARCH("True",D13)))</formula>
    </cfRule>
  </conditionalFormatting>
  <pageMargins left="0.7" right="0.7" top="0.75" bottom="0.75" header="0.3" footer="0.3"/>
  <pageSetup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741C-D087-4AE5-9EAB-1BC2A9D92C32}">
  <dimension ref="A1:Y11"/>
  <sheetViews>
    <sheetView workbookViewId="0">
      <pane xSplit="1" ySplit="3" topLeftCell="B4" activePane="bottomRight" state="frozen"/>
      <selection activeCell="O36" sqref="O36"/>
      <selection pane="topRight" activeCell="O36" sqref="O36"/>
      <selection pane="bottomLeft" activeCell="O36" sqref="O36"/>
      <selection pane="bottomRight" activeCell="N21" sqref="N21"/>
    </sheetView>
  </sheetViews>
  <sheetFormatPr defaultColWidth="8.77734375" defaultRowHeight="14.4" x14ac:dyDescent="0.3"/>
  <cols>
    <col min="1" max="1" width="19.21875" style="70" bestFit="1" customWidth="1"/>
    <col min="2" max="2" width="10.5546875" style="70" customWidth="1"/>
    <col min="3" max="3" width="9.88671875" style="70" customWidth="1"/>
    <col min="4" max="5" width="9.5546875" style="70" customWidth="1"/>
    <col min="6" max="6" width="9.77734375" style="70" customWidth="1"/>
    <col min="7" max="9" width="9.21875" style="70" customWidth="1"/>
    <col min="10" max="11" width="8.77734375" style="70" customWidth="1"/>
    <col min="12" max="13" width="9.21875" style="70" customWidth="1"/>
    <col min="14" max="14" width="9.44140625" style="70" customWidth="1"/>
    <col min="15" max="22" width="9.77734375" style="70" bestFit="1" customWidth="1"/>
    <col min="23" max="24" width="9.77734375" style="70" customWidth="1"/>
    <col min="25" max="25" width="13.5546875" style="70" customWidth="1"/>
    <col min="26" max="16384" width="8.77734375" style="70"/>
  </cols>
  <sheetData>
    <row r="1" spans="1:25" x14ac:dyDescent="0.3">
      <c r="A1" s="135" t="s">
        <v>127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pans="1:25" x14ac:dyDescent="0.3">
      <c r="A2" s="135" t="s">
        <v>145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</row>
    <row r="3" spans="1:25" ht="45" x14ac:dyDescent="0.3">
      <c r="A3" s="59" t="s">
        <v>40</v>
      </c>
      <c r="B3" s="60" t="s">
        <v>83</v>
      </c>
      <c r="C3" s="60" t="s">
        <v>62</v>
      </c>
      <c r="D3" s="60" t="s">
        <v>77</v>
      </c>
      <c r="E3" s="60" t="s">
        <v>78</v>
      </c>
      <c r="F3" s="60" t="s">
        <v>79</v>
      </c>
      <c r="G3" s="60" t="s">
        <v>80</v>
      </c>
      <c r="H3" s="60" t="s">
        <v>81</v>
      </c>
      <c r="I3" s="60" t="s">
        <v>82</v>
      </c>
      <c r="J3" s="60" t="s">
        <v>120</v>
      </c>
      <c r="K3" s="60" t="s">
        <v>63</v>
      </c>
      <c r="L3" s="60" t="s">
        <v>64</v>
      </c>
      <c r="M3" s="60" t="s">
        <v>65</v>
      </c>
      <c r="N3" s="60" t="s">
        <v>66</v>
      </c>
      <c r="O3" s="60" t="s">
        <v>67</v>
      </c>
      <c r="P3" s="60" t="s">
        <v>68</v>
      </c>
      <c r="Q3" s="60" t="s">
        <v>69</v>
      </c>
      <c r="R3" s="60" t="s">
        <v>70</v>
      </c>
      <c r="S3" s="60" t="s">
        <v>71</v>
      </c>
      <c r="T3" s="60" t="s">
        <v>72</v>
      </c>
      <c r="U3" s="60" t="s">
        <v>76</v>
      </c>
      <c r="V3" s="60" t="s">
        <v>112</v>
      </c>
      <c r="W3" s="60" t="s">
        <v>121</v>
      </c>
      <c r="X3" s="94"/>
      <c r="Y3" s="94"/>
    </row>
    <row r="4" spans="1:25" x14ac:dyDescent="0.3">
      <c r="A4" s="61" t="s">
        <v>43</v>
      </c>
      <c r="B4" s="106">
        <f>'Indifference Rate Calc'!C37</f>
        <v>7.4868000000000005E-4</v>
      </c>
      <c r="C4" s="106">
        <f>'PCIA Capping'!D18</f>
        <v>1.0714999999999999E-4</v>
      </c>
      <c r="D4" s="106">
        <f>'PCIA Capping'!E18</f>
        <v>-5.696000000000001E-5</v>
      </c>
      <c r="E4" s="106">
        <f>'PCIA Capping'!F18</f>
        <v>-5.696000000000001E-5</v>
      </c>
      <c r="F4" s="106">
        <f>'PCIA Capping'!G18</f>
        <v>5.62744E-3</v>
      </c>
      <c r="G4" s="106">
        <f>'PCIA Capping'!H18</f>
        <v>6.8212200000000002E-3</v>
      </c>
      <c r="H4" s="106">
        <f>'PCIA Capping'!I18</f>
        <v>9.1972900000000003E-3</v>
      </c>
      <c r="I4" s="106">
        <f>'PCIA Capping'!J18</f>
        <v>8.9459500000000011E-3</v>
      </c>
      <c r="J4" s="106">
        <f>'PCIA Capping'!K18</f>
        <v>1.0095550000000002E-2</v>
      </c>
      <c r="K4" s="106">
        <f>'PCIA Capping'!L18</f>
        <v>1.2410950000000002E-2</v>
      </c>
      <c r="L4" s="106">
        <f>'PCIA Capping'!M18</f>
        <v>1.8868700000000002E-2</v>
      </c>
      <c r="M4" s="106">
        <f>'PCIA Capping'!N18</f>
        <v>3.063355200085581E-2</v>
      </c>
      <c r="N4" s="106">
        <f>'PCIA Capping'!O18</f>
        <v>3.2578465865199233E-2</v>
      </c>
      <c r="O4" s="106">
        <f>'PCIA Capping'!P18</f>
        <v>3.2797483269192039E-2</v>
      </c>
      <c r="P4" s="106">
        <f>'PCIA Capping'!Q18</f>
        <v>3.25619161328701E-2</v>
      </c>
      <c r="Q4" s="106">
        <f>'PCIA Capping'!R18</f>
        <v>3.3089213414017868E-2</v>
      </c>
      <c r="R4" s="106">
        <f>'PCIA Capping'!S18</f>
        <v>3.3089213414017868E-2</v>
      </c>
      <c r="S4" s="106">
        <f>'PCIA Capping'!T18</f>
        <v>3.2888629076145225E-2</v>
      </c>
      <c r="T4" s="106">
        <f>'PCIA Capping'!U18</f>
        <v>3.2827254828505223E-2</v>
      </c>
      <c r="U4" s="106">
        <f>'PCIA Capping'!V18</f>
        <v>3.2452345310010719E-2</v>
      </c>
      <c r="V4" s="106">
        <f>'PCIA Capping'!W18</f>
        <v>3.3742817246554577E-2</v>
      </c>
      <c r="W4" s="106">
        <f>'PCIA Capping'!X18</f>
        <v>3.8039179999999999E-2</v>
      </c>
    </row>
    <row r="5" spans="1:25" x14ac:dyDescent="0.3">
      <c r="A5" s="61" t="s">
        <v>44</v>
      </c>
      <c r="B5" s="106">
        <f>'Indifference Rate Calc'!C38</f>
        <v>6.259900000000001E-4</v>
      </c>
      <c r="C5" s="106">
        <f>'PCIA Capping'!D19</f>
        <v>8.9590000000000001E-5</v>
      </c>
      <c r="D5" s="106">
        <f>'PCIA Capping'!E19</f>
        <v>-4.801000000000001E-5</v>
      </c>
      <c r="E5" s="106">
        <f>'PCIA Capping'!F19</f>
        <v>-4.801000000000001E-5</v>
      </c>
      <c r="F5" s="106">
        <f>'PCIA Capping'!G19</f>
        <v>4.7180399999999997E-3</v>
      </c>
      <c r="G5" s="106">
        <f>'PCIA Capping'!H19</f>
        <v>5.7189599999999995E-3</v>
      </c>
      <c r="H5" s="106">
        <f>'PCIA Capping'!I19</f>
        <v>7.7111599999999999E-3</v>
      </c>
      <c r="I5" s="106">
        <f>'PCIA Capping'!J19</f>
        <v>7.5004299999999998E-3</v>
      </c>
      <c r="J5" s="106">
        <f>'PCIA Capping'!K19</f>
        <v>8.4642999999999993E-3</v>
      </c>
      <c r="K5" s="106">
        <f>'PCIA Capping'!L19</f>
        <v>1.0405629999999999E-2</v>
      </c>
      <c r="L5" s="106">
        <f>'PCIA Capping'!M19</f>
        <v>1.582159E-2</v>
      </c>
      <c r="M5" s="106">
        <f>'PCIA Capping'!N19</f>
        <v>2.5723564617941803E-2</v>
      </c>
      <c r="N5" s="106">
        <f>'PCIA Capping'!O19</f>
        <v>2.7364715172284983E-2</v>
      </c>
      <c r="O5" s="106">
        <f>'PCIA Capping'!P19</f>
        <v>2.7548494925947849E-2</v>
      </c>
      <c r="P5" s="106">
        <f>'PCIA Capping'!Q19</f>
        <v>2.735082503678516E-2</v>
      </c>
      <c r="Q5" s="106">
        <f>'PCIA Capping'!R19</f>
        <v>2.7793807717306499E-2</v>
      </c>
      <c r="R5" s="106">
        <f>'PCIA Capping'!S19</f>
        <v>2.7793807717306499E-2</v>
      </c>
      <c r="S5" s="106">
        <f>'PCIA Capping'!T19</f>
        <v>2.7625940154842675E-2</v>
      </c>
      <c r="T5" s="106">
        <f>'PCIA Capping'!U19</f>
        <v>2.7581272599417766E-2</v>
      </c>
      <c r="U5" s="106">
        <f>'PCIA Capping'!V19</f>
        <v>2.7262476839364107E-2</v>
      </c>
      <c r="V5" s="106">
        <f>'PCIA Capping'!W19</f>
        <v>2.8339743044290457E-2</v>
      </c>
      <c r="W5" s="106">
        <f>'PCIA Capping'!X19</f>
        <v>3.1948150000000002E-2</v>
      </c>
    </row>
    <row r="6" spans="1:25" x14ac:dyDescent="0.3">
      <c r="A6" s="61" t="s">
        <v>56</v>
      </c>
      <c r="B6" s="106">
        <f>'Indifference Rate Calc'!C39</f>
        <v>4.7511E-4</v>
      </c>
      <c r="C6" s="106">
        <f>'PCIA Capping'!D20</f>
        <v>6.7999999999999999E-5</v>
      </c>
      <c r="D6" s="106">
        <f>'PCIA Capping'!E20</f>
        <v>-7.9430000000000017E-5</v>
      </c>
      <c r="E6" s="106">
        <f>'PCIA Capping'!F20</f>
        <v>-7.9430000000000017E-5</v>
      </c>
      <c r="F6" s="106">
        <f>'PCIA Capping'!G20</f>
        <v>5.0273499999999999E-3</v>
      </c>
      <c r="G6" s="106">
        <f>'PCIA Capping'!H20</f>
        <v>6.0998299999999997E-3</v>
      </c>
      <c r="H6" s="106">
        <f>'PCIA Capping'!I20</f>
        <v>8.2344499999999991E-3</v>
      </c>
      <c r="I6" s="106">
        <f>'PCIA Capping'!J20</f>
        <v>8.0086499999999991E-3</v>
      </c>
      <c r="J6" s="106">
        <f>'PCIA Capping'!K20</f>
        <v>9.0414299999999996E-3</v>
      </c>
      <c r="K6" s="106">
        <f>'PCIA Capping'!L20</f>
        <v>1.1121549999999999E-2</v>
      </c>
      <c r="L6" s="106">
        <f>'PCIA Capping'!M20</f>
        <v>1.7068359999999998E-2</v>
      </c>
      <c r="M6" s="106">
        <f>'PCIA Capping'!N20</f>
        <v>2.8460500310117265E-2</v>
      </c>
      <c r="N6" s="106">
        <f>'PCIA Capping'!O20</f>
        <v>3.0423378883917013E-2</v>
      </c>
      <c r="O6" s="106">
        <f>'PCIA Capping'!P20</f>
        <v>3.0624224670448643E-2</v>
      </c>
      <c r="P6" s="106">
        <f>'PCIA Capping'!Q20</f>
        <v>3.0408122114903534E-2</v>
      </c>
      <c r="Q6" s="106">
        <f>'PCIA Capping'!R20</f>
        <v>3.0901883169443062E-2</v>
      </c>
      <c r="R6" s="106">
        <f>'PCIA Capping'!S20</f>
        <v>3.0901883169443062E-2</v>
      </c>
      <c r="S6" s="106">
        <f>'PCIA Capping'!T20</f>
        <v>3.0724440714524896E-2</v>
      </c>
      <c r="T6" s="106">
        <f>'PCIA Capping'!U20</f>
        <v>3.0805939693418809E-2</v>
      </c>
      <c r="U6" s="106">
        <f>'PCIA Capping'!V20</f>
        <v>3.0362955294821727E-2</v>
      </c>
      <c r="V6" s="106">
        <f>'PCIA Capping'!W20</f>
        <v>3.1406014687054382E-2</v>
      </c>
      <c r="W6" s="106">
        <f>'PCIA Capping'!X20</f>
        <v>3.540484E-2</v>
      </c>
    </row>
    <row r="7" spans="1:25" x14ac:dyDescent="0.3">
      <c r="A7" s="61" t="s">
        <v>54</v>
      </c>
      <c r="B7" s="106">
        <f>'Indifference Rate Calc'!C40</f>
        <v>4.9585999999999999E-4</v>
      </c>
      <c r="C7" s="106">
        <f>'PCIA Capping'!D21</f>
        <v>7.0970000000000007E-5</v>
      </c>
      <c r="D7" s="106">
        <f>'PCIA Capping'!E21</f>
        <v>-4.1950000000000003E-5</v>
      </c>
      <c r="E7" s="106">
        <f>'PCIA Capping'!F21</f>
        <v>-4.1950000000000003E-5</v>
      </c>
      <c r="F7" s="106">
        <f>'PCIA Capping'!G21</f>
        <v>3.8692800000000001E-3</v>
      </c>
      <c r="G7" s="106">
        <f>'PCIA Capping'!H21</f>
        <v>4.69068E-3</v>
      </c>
      <c r="H7" s="106">
        <f>'PCIA Capping'!I21</f>
        <v>6.32557E-3</v>
      </c>
      <c r="I7" s="106">
        <f>'PCIA Capping'!J21</f>
        <v>6.15264E-3</v>
      </c>
      <c r="J7" s="106">
        <f>'PCIA Capping'!K21</f>
        <v>6.9436400000000001E-3</v>
      </c>
      <c r="K7" s="106">
        <f>'PCIA Capping'!L21</f>
        <v>8.5367800000000008E-3</v>
      </c>
      <c r="L7" s="106">
        <f>'PCIA Capping'!M21</f>
        <v>1.2980230000000002E-2</v>
      </c>
      <c r="M7" s="106">
        <f>'PCIA Capping'!N21</f>
        <v>2.1458051174861239E-2</v>
      </c>
      <c r="N7" s="106">
        <f>'PCIA Capping'!O21</f>
        <v>2.2862383571769038E-2</v>
      </c>
      <c r="O7" s="106">
        <f>'PCIA Capping'!P21</f>
        <v>2.3015096968061206E-2</v>
      </c>
      <c r="P7" s="106">
        <f>'PCIA Capping'!Q21</f>
        <v>2.2850817144179931E-2</v>
      </c>
      <c r="Q7" s="106">
        <f>'PCIA Capping'!R21</f>
        <v>2.3221212274066389E-2</v>
      </c>
      <c r="R7" s="106">
        <f>'PCIA Capping'!S21</f>
        <v>2.3221212274066389E-2</v>
      </c>
      <c r="S7" s="106">
        <f>'PCIA Capping'!T21</f>
        <v>2.3082224581808929E-2</v>
      </c>
      <c r="T7" s="106">
        <f>'PCIA Capping'!U21</f>
        <v>2.3059866212755124E-2</v>
      </c>
      <c r="U7" s="106">
        <f>'PCIA Capping'!V21</f>
        <v>2.2786896626017492E-2</v>
      </c>
      <c r="V7" s="106">
        <f>'PCIA Capping'!W21</f>
        <v>2.3675709240920172E-2</v>
      </c>
      <c r="W7" s="106">
        <f>'PCIA Capping'!X21</f>
        <v>2.6690259999999997E-2</v>
      </c>
    </row>
    <row r="8" spans="1:25" x14ac:dyDescent="0.3">
      <c r="A8" s="61" t="s">
        <v>55</v>
      </c>
      <c r="B8" s="106">
        <f>'Indifference Rate Calc'!C41</f>
        <v>4.9191000000000003E-4</v>
      </c>
      <c r="C8" s="106">
        <f>'PCIA Capping'!D22</f>
        <v>7.0400000000000004E-5</v>
      </c>
      <c r="D8" s="106">
        <f>'PCIA Capping'!E22</f>
        <v>-3.7489999999999995E-5</v>
      </c>
      <c r="E8" s="106">
        <f>'PCIA Capping'!F22</f>
        <v>-3.7489999999999995E-5</v>
      </c>
      <c r="F8" s="106">
        <f>'PCIA Capping'!G22</f>
        <v>3.69974E-3</v>
      </c>
      <c r="G8" s="106">
        <f>'PCIA Capping'!H22</f>
        <v>4.4846E-3</v>
      </c>
      <c r="H8" s="106">
        <f>'PCIA Capping'!I22</f>
        <v>6.04676E-3</v>
      </c>
      <c r="I8" s="106">
        <f>'PCIA Capping'!J22</f>
        <v>5.8815200000000003E-3</v>
      </c>
      <c r="J8" s="106">
        <f>'PCIA Capping'!K22</f>
        <v>6.6373300000000003E-3</v>
      </c>
      <c r="K8" s="106">
        <f>'PCIA Capping'!L22</f>
        <v>8.1595999999999995E-3</v>
      </c>
      <c r="L8" s="106">
        <f>'PCIA Capping'!M22</f>
        <v>1.2405269999999999E-2</v>
      </c>
      <c r="M8" s="106">
        <f>'PCIA Capping'!N22</f>
        <v>2.0140117578968383E-2</v>
      </c>
      <c r="N8" s="106">
        <f>'PCIA Capping'!O22</f>
        <v>2.1420750132936966E-2</v>
      </c>
      <c r="O8" s="106">
        <f>'PCIA Capping'!P22</f>
        <v>2.1564711942543321E-2</v>
      </c>
      <c r="P8" s="106">
        <f>'PCIA Capping'!Q22</f>
        <v>2.1409867278909714E-2</v>
      </c>
      <c r="Q8" s="106">
        <f>'PCIA Capping'!R22</f>
        <v>2.1756588629484815E-2</v>
      </c>
      <c r="R8" s="106">
        <f>'PCIA Capping'!S22</f>
        <v>2.1756588629484815E-2</v>
      </c>
      <c r="S8" s="106">
        <f>'PCIA Capping'!T22</f>
        <v>2.1624790245249131E-2</v>
      </c>
      <c r="T8" s="106">
        <f>'PCIA Capping'!U22</f>
        <v>2.158287050811579E-2</v>
      </c>
      <c r="U8" s="106">
        <f>'PCIA Capping'!V22</f>
        <v>2.1337030995390274E-2</v>
      </c>
      <c r="V8" s="106">
        <f>'PCIA Capping'!W22</f>
        <v>2.2186691063918487E-2</v>
      </c>
      <c r="W8" s="106">
        <f>'PCIA Capping'!X22</f>
        <v>2.501165E-2</v>
      </c>
    </row>
    <row r="9" spans="1:25" x14ac:dyDescent="0.3">
      <c r="A9" s="61" t="s">
        <v>57</v>
      </c>
      <c r="B9" s="106">
        <f>'Indifference Rate Calc'!C42</f>
        <v>5.8600999999999998E-4</v>
      </c>
      <c r="C9" s="106">
        <f>'PCIA Capping'!D23</f>
        <v>8.3869999999999995E-5</v>
      </c>
      <c r="D9" s="106">
        <f>'PCIA Capping'!E23</f>
        <v>-6.7830000000000006E-5</v>
      </c>
      <c r="E9" s="106">
        <f>'PCIA Capping'!F23</f>
        <v>-6.7830000000000006E-5</v>
      </c>
      <c r="F9" s="106">
        <f>'PCIA Capping'!G23</f>
        <v>5.1866000000000004E-3</v>
      </c>
      <c r="G9" s="106">
        <f>'PCIA Capping'!H23</f>
        <v>6.2900900000000008E-3</v>
      </c>
      <c r="H9" s="106">
        <f>'PCIA Capping'!I23</f>
        <v>8.4864300000000014E-3</v>
      </c>
      <c r="I9" s="106">
        <f>'PCIA Capping'!J23</f>
        <v>8.254110000000002E-3</v>
      </c>
      <c r="J9" s="106">
        <f>'PCIA Capping'!K23</f>
        <v>9.3167500000000021E-3</v>
      </c>
      <c r="K9" s="106">
        <f>'PCIA Capping'!L23</f>
        <v>1.1457010000000002E-2</v>
      </c>
      <c r="L9" s="106">
        <f>'PCIA Capping'!M23</f>
        <v>1.7490270000000002E-2</v>
      </c>
      <c r="M9" s="106">
        <f>'PCIA Capping'!N23</f>
        <v>2.8735220000000002E-2</v>
      </c>
      <c r="N9" s="106">
        <f>'PCIA Capping'!O23</f>
        <v>3.0627590000000003E-2</v>
      </c>
      <c r="O9" s="106">
        <f>'PCIA Capping'!P23</f>
        <v>3.0831890000000004E-2</v>
      </c>
      <c r="P9" s="106">
        <f>'PCIA Capping'!Q23</f>
        <v>3.0612120000000003E-2</v>
      </c>
      <c r="Q9" s="106">
        <f>'PCIA Capping'!R23</f>
        <v>3.1108430000000003E-2</v>
      </c>
      <c r="R9" s="106">
        <f>'PCIA Capping'!S23</f>
        <v>3.1108430000000003E-2</v>
      </c>
      <c r="S9" s="106">
        <f>'PCIA Capping'!T23</f>
        <v>3.0924080000000003E-2</v>
      </c>
      <c r="T9" s="106">
        <f>'PCIA Capping'!U23</f>
        <v>3.0924080000000003E-2</v>
      </c>
      <c r="U9" s="106">
        <f>'PCIA Capping'!V23</f>
        <v>3.0534210000000003E-2</v>
      </c>
      <c r="V9" s="106">
        <f>'PCIA Capping'!W23</f>
        <v>3.1682269999999998E-2</v>
      </c>
      <c r="W9" s="106">
        <f>'PCIA Capping'!X23</f>
        <v>3.5716270000000001E-2</v>
      </c>
    </row>
    <row r="11" spans="1:25" ht="16.2" x14ac:dyDescent="0.3">
      <c r="A11" s="70" t="s">
        <v>73</v>
      </c>
    </row>
  </sheetData>
  <mergeCells count="2">
    <mergeCell ref="A1:X1"/>
    <mergeCell ref="A2:X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PCIA Inputs</vt:lpstr>
      <vt:lpstr>IOU Total Portfolio Summary</vt:lpstr>
      <vt:lpstr>Indifference Amount Calc</vt:lpstr>
      <vt:lpstr>Indifference Rate Calc</vt:lpstr>
      <vt:lpstr>PCIA Capping</vt:lpstr>
      <vt:lpstr>Final PCIA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McKay, Jenell T</dc:creator>
  <cp:lastModifiedBy>Wissman, Erica J</cp:lastModifiedBy>
  <cp:lastPrinted>2019-03-28T21:05:48Z</cp:lastPrinted>
  <dcterms:created xsi:type="dcterms:W3CDTF">2017-03-21T16:08:55Z</dcterms:created>
  <dcterms:modified xsi:type="dcterms:W3CDTF">2022-06-09T18:35:19Z</dcterms:modified>
  <cp:contentStatus/>
</cp:coreProperties>
</file>